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401" windowWidth="8790" windowHeight="6030" firstSheet="5" activeTab="5"/>
  </bookViews>
  <sheets>
    <sheet name="Тит. лист" sheetId="1" r:id="rId1"/>
    <sheet name="ЛУ" sheetId="2" r:id="rId2"/>
    <sheet name="Схема расст.СИ на котле" sheetId="3" r:id="rId3"/>
    <sheet name="Таблица СИ котла" sheetId="4" r:id="rId4"/>
    <sheet name="Тепловая схема" sheetId="5" r:id="rId5"/>
    <sheet name="tiptop1" sheetId="6" r:id="rId6"/>
    <sheet name="tiptop2" sheetId="7" r:id="rId7"/>
    <sheet name="tiptop3" sheetId="8" r:id="rId8"/>
    <sheet name="tiptop4" sheetId="9" r:id="rId9"/>
    <sheet name="Сводная" sheetId="10" r:id="rId10"/>
    <sheet name="Реж. карты" sheetId="11" r:id="rId11"/>
  </sheets>
  <definedNames>
    <definedName name="_xlnm.Print_Area" localSheetId="5">'tiptop1'!$A$1:$BI$113</definedName>
    <definedName name="_xlnm.Print_Area" localSheetId="1">'ЛУ'!$A$1:$J$37</definedName>
    <definedName name="_xlnm.Print_Area" localSheetId="10">'Реж. карты'!$A$1:$E$53</definedName>
    <definedName name="_xlnm.Print_Area" localSheetId="0">'Тит. лист'!$A$3:$A$60</definedName>
  </definedNames>
  <calcPr fullCalcOnLoad="1"/>
</workbook>
</file>

<file path=xl/sharedStrings.xml><?xml version="1.0" encoding="utf-8"?>
<sst xmlns="http://schemas.openxmlformats.org/spreadsheetml/2006/main" count="796" uniqueCount="349">
  <si>
    <t>Средство</t>
  </si>
  <si>
    <t>измерений</t>
  </si>
  <si>
    <t>Цена</t>
  </si>
  <si>
    <t>деления</t>
  </si>
  <si>
    <t>шкалы</t>
  </si>
  <si>
    <t>Класс</t>
  </si>
  <si>
    <t>точности</t>
  </si>
  <si>
    <t>Квартал,</t>
  </si>
  <si>
    <t>следней</t>
  </si>
  <si>
    <t>поверки</t>
  </si>
  <si>
    <t>термометр</t>
  </si>
  <si>
    <t>год  по-</t>
  </si>
  <si>
    <t>компьютерный</t>
  </si>
  <si>
    <t xml:space="preserve">газоанализатор </t>
  </si>
  <si>
    <t xml:space="preserve">  Измеряемый</t>
  </si>
  <si>
    <t xml:space="preserve">  параметр</t>
  </si>
  <si>
    <t>СВОДНАЯ ТАБЛИЦА РЕЗУЛЬТАТОВ ИЗМЕРЕНИЙ</t>
  </si>
  <si>
    <t xml:space="preserve">  Марка топлива</t>
  </si>
  <si>
    <t>CO</t>
  </si>
  <si>
    <t>Обо-</t>
  </si>
  <si>
    <t>зна-</t>
  </si>
  <si>
    <t>че-</t>
  </si>
  <si>
    <t>ние</t>
  </si>
  <si>
    <t>Наименование</t>
  </si>
  <si>
    <t>Способ</t>
  </si>
  <si>
    <t>получения</t>
  </si>
  <si>
    <t>величины</t>
  </si>
  <si>
    <t>расчёт</t>
  </si>
  <si>
    <t>измерено</t>
  </si>
  <si>
    <t>Природный газ  ГОСТ 5542-87</t>
  </si>
  <si>
    <t xml:space="preserve">  Потери тепла, %</t>
  </si>
  <si>
    <t>с уходящими газами</t>
  </si>
  <si>
    <t xml:space="preserve">  Кпд котла брутто, %</t>
  </si>
  <si>
    <t>Наименование параметра</t>
  </si>
  <si>
    <t xml:space="preserve">  Состав уходящих газов за котлом</t>
  </si>
  <si>
    <t>кислород</t>
  </si>
  <si>
    <t>окись углерода</t>
  </si>
  <si>
    <t>углекислый газ</t>
  </si>
  <si>
    <t>в окружающую среду</t>
  </si>
  <si>
    <t>1,0</t>
  </si>
  <si>
    <t xml:space="preserve">  Температура воды, °С</t>
  </si>
  <si>
    <t xml:space="preserve">  Коэфф-т избытка воздуха за котлом</t>
  </si>
  <si>
    <t>S</t>
  </si>
  <si>
    <t xml:space="preserve">  Потери тепла котлом, %</t>
  </si>
  <si>
    <t>Технический  отчёт</t>
  </si>
  <si>
    <t>природный</t>
  </si>
  <si>
    <t>газ</t>
  </si>
  <si>
    <t>воздух</t>
  </si>
  <si>
    <t>/  /  /  /  /  /  /  /  /  /  /  /  /  /  /  /  /  /  /  /  /  /  /  /  /  /  /  /  /  /  /  /  /  /  /  /  /  /  /  /  /</t>
  </si>
  <si>
    <t>на выходе котла</t>
  </si>
  <si>
    <t>на входе котла</t>
  </si>
  <si>
    <t>Bг</t>
  </si>
  <si>
    <t>Рг</t>
  </si>
  <si>
    <t>Рв</t>
  </si>
  <si>
    <t>Sт</t>
  </si>
  <si>
    <t>от его теплопроизводительности</t>
  </si>
  <si>
    <t>Потери тепла с уходящими газами,  %</t>
  </si>
  <si>
    <t>Коэффициент избытка воздуха</t>
  </si>
  <si>
    <t>Нагрузка, %</t>
  </si>
  <si>
    <t xml:space="preserve"> Реж №1</t>
  </si>
  <si>
    <t xml:space="preserve"> Реж №3</t>
  </si>
  <si>
    <t>Кпд брутто, %</t>
  </si>
  <si>
    <t>Давление газа перед горелкой, кПа</t>
  </si>
  <si>
    <t xml:space="preserve">          Давление газа, кПа</t>
  </si>
  <si>
    <t xml:space="preserve">     График соотношения  "Газ-Воздух"  котла №</t>
  </si>
  <si>
    <t>Qрн</t>
  </si>
  <si>
    <t>Bг "7"</t>
  </si>
  <si>
    <t>tдв</t>
  </si>
  <si>
    <t xml:space="preserve"> Реж №7</t>
  </si>
  <si>
    <t xml:space="preserve"> Реж №5</t>
  </si>
  <si>
    <t>Hагр.,  %</t>
  </si>
  <si>
    <t>П</t>
  </si>
  <si>
    <t>NO к"7"</t>
  </si>
  <si>
    <t xml:space="preserve">(1,3-1,8) </t>
  </si>
  <si>
    <t>Вводить исходные данные в жёлтые ячейки!</t>
  </si>
  <si>
    <t>Котёл №</t>
  </si>
  <si>
    <t>Qк*</t>
  </si>
  <si>
    <t xml:space="preserve">(0,1-0,3) </t>
  </si>
  <si>
    <t>кгут/Гкал</t>
  </si>
  <si>
    <t xml:space="preserve">Qн </t>
  </si>
  <si>
    <t xml:space="preserve">q5н </t>
  </si>
  <si>
    <t>ALF "7"</t>
  </si>
  <si>
    <t>Изм. ALF</t>
  </si>
  <si>
    <t>Кпд  "1"</t>
  </si>
  <si>
    <t>Изм. q2</t>
  </si>
  <si>
    <t>Q</t>
  </si>
  <si>
    <t xml:space="preserve">tух </t>
  </si>
  <si>
    <t xml:space="preserve">O2 </t>
  </si>
  <si>
    <t xml:space="preserve">CO2 </t>
  </si>
  <si>
    <t xml:space="preserve">ALF </t>
  </si>
  <si>
    <t xml:space="preserve">q2 </t>
  </si>
  <si>
    <t xml:space="preserve">q5ф </t>
  </si>
  <si>
    <t xml:space="preserve">Кпд </t>
  </si>
  <si>
    <t xml:space="preserve">NO </t>
  </si>
  <si>
    <t xml:space="preserve">NOx </t>
  </si>
  <si>
    <t>NOx ,…</t>
  </si>
  <si>
    <t xml:space="preserve">z </t>
  </si>
  <si>
    <t xml:space="preserve">z* </t>
  </si>
  <si>
    <t>O2 *</t>
  </si>
  <si>
    <t>CO2 *</t>
  </si>
  <si>
    <t>ALF *</t>
  </si>
  <si>
    <t>q2 *</t>
  </si>
  <si>
    <t>q5ф *</t>
  </si>
  <si>
    <t>Кпд *</t>
  </si>
  <si>
    <t>Температура уходящих газов, °С</t>
  </si>
  <si>
    <t>Давление газа, кПа</t>
  </si>
  <si>
    <r>
      <t>Содержание СО</t>
    </r>
    <r>
      <rPr>
        <b/>
        <vertAlign val="subscript"/>
        <sz val="11"/>
        <rFont val="Arial Cyr"/>
        <family val="0"/>
      </rPr>
      <t>2</t>
    </r>
    <r>
      <rPr>
        <b/>
        <sz val="11"/>
        <rFont val="Arial Cyr"/>
        <family val="2"/>
      </rPr>
      <t xml:space="preserve"> ,  %</t>
    </r>
  </si>
  <si>
    <r>
      <t>Давление воздуха, кгс/м</t>
    </r>
    <r>
      <rPr>
        <b/>
        <vertAlign val="superscript"/>
        <sz val="10"/>
        <rFont val="Arial Cyr"/>
        <family val="0"/>
      </rPr>
      <t>2</t>
    </r>
  </si>
  <si>
    <r>
      <t>Расход газа,  нм</t>
    </r>
    <r>
      <rPr>
        <b/>
        <vertAlign val="superscript"/>
        <sz val="11"/>
        <rFont val="Arial Cyr"/>
        <family val="0"/>
      </rPr>
      <t>3</t>
    </r>
    <r>
      <rPr>
        <b/>
        <sz val="11"/>
        <rFont val="Arial Cyr"/>
        <family val="0"/>
      </rPr>
      <t>/ч</t>
    </r>
  </si>
  <si>
    <r>
      <t>Разрежение в топке,   кгс/м</t>
    </r>
    <r>
      <rPr>
        <b/>
        <vertAlign val="superscript"/>
        <sz val="11"/>
        <rFont val="Arial Cyr"/>
        <family val="0"/>
      </rPr>
      <t>2</t>
    </r>
  </si>
  <si>
    <t xml:space="preserve"> Температура воды, °С</t>
  </si>
  <si>
    <t xml:space="preserve"> Расход воды через котёл, т/ч</t>
  </si>
  <si>
    <t xml:space="preserve">  Температура дутьевого воздуха, ºС</t>
  </si>
  <si>
    <t>CO , ppm</t>
  </si>
  <si>
    <t xml:space="preserve"> Марка топлива</t>
  </si>
  <si>
    <t>паспорт</t>
  </si>
  <si>
    <t>СО, ppm</t>
  </si>
  <si>
    <t>котёл №1</t>
  </si>
  <si>
    <t>Верхний</t>
  </si>
  <si>
    <t>предел</t>
  </si>
  <si>
    <t>% - с.н.</t>
  </si>
  <si>
    <t xml:space="preserve">  Потери тепла в окружающую среду, %</t>
  </si>
  <si>
    <t>подпиточный бак</t>
  </si>
  <si>
    <r>
      <t>p</t>
    </r>
    <r>
      <rPr>
        <i/>
        <vertAlign val="subscript"/>
        <sz val="14"/>
        <rFont val="Times New Roman"/>
        <family val="1"/>
      </rPr>
      <t>г</t>
    </r>
  </si>
  <si>
    <r>
      <t>O</t>
    </r>
    <r>
      <rPr>
        <vertAlign val="subscript"/>
        <sz val="14"/>
        <rFont val="Times New Roman"/>
        <family val="1"/>
      </rPr>
      <t xml:space="preserve">2 </t>
    </r>
    <r>
      <rPr>
        <sz val="14"/>
        <rFont val="Times New Roman"/>
        <family val="1"/>
      </rPr>
      <t>, %</t>
    </r>
  </si>
  <si>
    <r>
      <t>CO</t>
    </r>
    <r>
      <rPr>
        <vertAlign val="subscript"/>
        <sz val="14"/>
        <rFont val="Times New Roman"/>
        <family val="1"/>
      </rPr>
      <t xml:space="preserve">2 </t>
    </r>
    <r>
      <rPr>
        <sz val="14"/>
        <rFont val="Times New Roman"/>
        <family val="1"/>
      </rPr>
      <t>, %</t>
    </r>
  </si>
  <si>
    <r>
      <t xml:space="preserve">  Коэффициенты  </t>
    </r>
    <r>
      <rPr>
        <i/>
        <sz val="14"/>
        <rFont val="Times New Roman"/>
        <family val="1"/>
      </rPr>
      <t>z</t>
    </r>
  </si>
  <si>
    <t xml:space="preserve"> Температура дутьевого воздуха, °С</t>
  </si>
  <si>
    <t xml:space="preserve"> Температура уходящих газов, °С</t>
  </si>
  <si>
    <t xml:space="preserve">  Коэффициент избытка воздуха</t>
  </si>
  <si>
    <t xml:space="preserve"> Разрежение за котлом, даПа</t>
  </si>
  <si>
    <r>
      <t>Разрежение за котлом,   кгс/м</t>
    </r>
    <r>
      <rPr>
        <b/>
        <vertAlign val="superscript"/>
        <sz val="11"/>
        <rFont val="Arial Cyr"/>
        <family val="0"/>
      </rPr>
      <t>2</t>
    </r>
  </si>
  <si>
    <t xml:space="preserve">q3 </t>
  </si>
  <si>
    <t xml:space="preserve">CO </t>
  </si>
  <si>
    <t>Давление газа перед горелками, кПа</t>
  </si>
  <si>
    <r>
      <t>Давление воздуха на выходе дутьевого вентилятора,  кгс/м</t>
    </r>
    <r>
      <rPr>
        <b/>
        <vertAlign val="superscript"/>
        <sz val="11"/>
        <rFont val="Arial Cyr"/>
        <family val="0"/>
      </rPr>
      <t>2</t>
    </r>
  </si>
  <si>
    <t>ТТЖ</t>
  </si>
  <si>
    <t>подача гвс</t>
  </si>
  <si>
    <t>циркул. гвс</t>
  </si>
  <si>
    <t>1°C</t>
  </si>
  <si>
    <t>100°C</t>
  </si>
  <si>
    <t>Величина</t>
  </si>
  <si>
    <t xml:space="preserve">  Температура уходящих газов за котлом,ºС</t>
  </si>
  <si>
    <t>III 2007</t>
  </si>
  <si>
    <t>IV 2007</t>
  </si>
  <si>
    <t>c химнедожом</t>
  </si>
  <si>
    <t>с химнедожогом</t>
  </si>
  <si>
    <t>“Утверждаю”</t>
  </si>
  <si>
    <r>
      <t xml:space="preserve">  Низшая теплотворная способность,  ккал/нм</t>
    </r>
    <r>
      <rPr>
        <vertAlign val="superscript"/>
        <sz val="14"/>
        <rFont val="Times New Roman"/>
        <family val="1"/>
      </rPr>
      <t>3</t>
    </r>
  </si>
  <si>
    <r>
      <t xml:space="preserve">  Расход газа, нм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>/ч</t>
    </r>
  </si>
  <si>
    <r>
      <t>О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, %</t>
    </r>
  </si>
  <si>
    <r>
      <t>СО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, %</t>
    </r>
  </si>
  <si>
    <t xml:space="preserve">  Нагрузка относительная</t>
  </si>
  <si>
    <t>Режимная карта</t>
  </si>
  <si>
    <t xml:space="preserve"> Давл. газа после блока клапанов, кПа</t>
  </si>
  <si>
    <t>бак с реагентом</t>
  </si>
  <si>
    <t>водогрейного котла Турботерм ТТ-250 № 4</t>
  </si>
  <si>
    <r>
      <t xml:space="preserve">  Давление воды на выходе котла, кгс/см</t>
    </r>
    <r>
      <rPr>
        <vertAlign val="superscript"/>
        <sz val="14"/>
        <rFont val="Times New Roman"/>
        <family val="1"/>
      </rPr>
      <t>2</t>
    </r>
  </si>
  <si>
    <t>II 2007</t>
  </si>
  <si>
    <t>угол газ</t>
  </si>
  <si>
    <t>расход</t>
  </si>
  <si>
    <t>котёл № 4 (ТТ-250)</t>
  </si>
  <si>
    <t>о режимно-наладочных работах</t>
  </si>
  <si>
    <t>–</t>
  </si>
  <si>
    <r>
      <t>O</t>
    </r>
    <r>
      <rPr>
        <vertAlign val="subscript"/>
        <sz val="14"/>
        <rFont val="Times New Roman"/>
        <family val="1"/>
      </rPr>
      <t xml:space="preserve">2 </t>
    </r>
    <r>
      <rPr>
        <sz val="14"/>
        <rFont val="Times New Roman"/>
        <family val="1"/>
      </rPr>
      <t>: 21%</t>
    </r>
  </si>
  <si>
    <t>CO: 1%</t>
  </si>
  <si>
    <t>t : 650°C</t>
  </si>
  <si>
    <t>0,1%</t>
  </si>
  <si>
    <t>0,1°C</t>
  </si>
  <si>
    <t>наименьш.</t>
  </si>
  <si>
    <t xml:space="preserve">  КПД котла брутто по обр. балансу, %</t>
  </si>
  <si>
    <t>КПД котла брутто по прям. балансу, %</t>
  </si>
  <si>
    <t xml:space="preserve"> через котёл</t>
  </si>
  <si>
    <t>расходомер</t>
  </si>
  <si>
    <t>TransPort PT868</t>
  </si>
  <si>
    <t>Вода</t>
  </si>
  <si>
    <t>Топливо</t>
  </si>
  <si>
    <t>Воздух и газы</t>
  </si>
  <si>
    <t>Экономические показатели котла</t>
  </si>
  <si>
    <t xml:space="preserve">  Расход воды через котёл, т/ч</t>
  </si>
  <si>
    <r>
      <t xml:space="preserve"> Давление воды на вых. котла, кгс/см</t>
    </r>
    <r>
      <rPr>
        <vertAlign val="superscript"/>
        <sz val="14"/>
        <rFont val="Times New Roman"/>
        <family val="1"/>
      </rPr>
      <t>2</t>
    </r>
  </si>
  <si>
    <t xml:space="preserve">  Положение газовой заслонки</t>
  </si>
  <si>
    <t xml:space="preserve">  Положение воздушной заслонки</t>
  </si>
  <si>
    <t xml:space="preserve">  Состав уходящих газов</t>
  </si>
  <si>
    <t xml:space="preserve">Удельный расход условного топлива,кгут/Гкал </t>
  </si>
  <si>
    <t>СХЕМА  РАССТАНОВКИ  СРЕДСТВ  ИЗМЕРЕНИЙ  НА  КОТЛЕ</t>
  </si>
  <si>
    <t>ТАБЛИЦА  СРЕДСТВ  ИЗМЕРЕНИЙ  ПАРАМЕТРОВ  КОТЛА</t>
  </si>
  <si>
    <t>в котельной “125 кв.”</t>
  </si>
  <si>
    <t xml:space="preserve">  Невязка, %</t>
  </si>
  <si>
    <t xml:space="preserve">  Давление газа на выходе ГРУ, кПа</t>
  </si>
  <si>
    <t xml:space="preserve">  Давление газа перед счётчиком котла, кПа</t>
  </si>
  <si>
    <t xml:space="preserve">       Графики зависимости параметров котла №</t>
  </si>
  <si>
    <t xml:space="preserve">        Экономические показатели котла  №</t>
  </si>
  <si>
    <t xml:space="preserve">     Графики оптимальных топочных режимов котла №</t>
  </si>
  <si>
    <t>топливо - природный газ</t>
  </si>
  <si>
    <t>ТЕПЛОВАЯ  СХЕМА  КОТЕЛЬНОЙ</t>
  </si>
  <si>
    <t xml:space="preserve"> Теплопроизводит-ть по расходу газа, Гкал/ч</t>
  </si>
  <si>
    <t>Panametrics</t>
  </si>
  <si>
    <t>монооксид углерода</t>
  </si>
  <si>
    <t xml:space="preserve"> дутьевого воздуха</t>
  </si>
  <si>
    <t xml:space="preserve"> на входе котла</t>
  </si>
  <si>
    <t xml:space="preserve"> на выходе котла</t>
  </si>
  <si>
    <r>
      <t xml:space="preserve"> (O</t>
    </r>
    <r>
      <rPr>
        <vertAlign val="subscript"/>
        <sz val="14"/>
        <rFont val="Times New Roman"/>
        <family val="1"/>
      </rPr>
      <t xml:space="preserve">2 </t>
    </r>
    <r>
      <rPr>
        <sz val="14"/>
        <rFont val="Times New Roman"/>
        <family val="1"/>
      </rPr>
      <t>, CO, NO),</t>
    </r>
  </si>
  <si>
    <t xml:space="preserve"> уходящих газов</t>
  </si>
  <si>
    <t xml:space="preserve">  Температура воды, °С,</t>
  </si>
  <si>
    <r>
      <t>D</t>
    </r>
    <r>
      <rPr>
        <vertAlign val="subscript"/>
        <sz val="14"/>
        <rFont val="Times New Roman"/>
        <family val="1"/>
      </rPr>
      <t>у</t>
    </r>
    <r>
      <rPr>
        <sz val="14"/>
        <rFont val="Times New Roman"/>
        <family val="1"/>
      </rPr>
      <t>40</t>
    </r>
  </si>
  <si>
    <t>подача системы отопления</t>
  </si>
  <si>
    <t>обратка системы отопления</t>
  </si>
  <si>
    <t>Теплопр-ность по расходу газа, Гкал/ч</t>
  </si>
  <si>
    <t>СГ16МТ-250-40-С</t>
  </si>
  <si>
    <r>
      <t>счётчик газа D</t>
    </r>
    <r>
      <rPr>
        <vertAlign val="subscript"/>
        <sz val="14"/>
        <rFont val="Times New Roman"/>
        <family val="1"/>
      </rPr>
      <t>у</t>
    </r>
    <r>
      <rPr>
        <sz val="14"/>
        <rFont val="Times New Roman"/>
        <family val="1"/>
      </rPr>
      <t>80</t>
    </r>
  </si>
  <si>
    <r>
      <t>250 м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>/ч</t>
    </r>
  </si>
  <si>
    <r>
      <t>0,01 м</t>
    </r>
    <r>
      <rPr>
        <vertAlign val="superscript"/>
        <sz val="14"/>
        <rFont val="Times New Roman"/>
        <family val="1"/>
      </rPr>
      <t>3</t>
    </r>
  </si>
  <si>
    <t>1,5</t>
  </si>
  <si>
    <t xml:space="preserve"> 3 расход газа</t>
  </si>
  <si>
    <t xml:space="preserve"> в горелке</t>
  </si>
  <si>
    <t>напоромер</t>
  </si>
  <si>
    <t xml:space="preserve"> 5 давление воздуха</t>
  </si>
  <si>
    <t>НМП-52</t>
  </si>
  <si>
    <t>2,5 кПа</t>
  </si>
  <si>
    <t>0,05 кПа</t>
  </si>
  <si>
    <t xml:space="preserve"> 6 температура воды</t>
  </si>
  <si>
    <t>Давление газа в горелке, мм вод. ст.</t>
  </si>
  <si>
    <t>Давление воздуха в горелке, мм вод. ст.</t>
  </si>
  <si>
    <t>вода хвс</t>
  </si>
  <si>
    <t>котёл №3</t>
  </si>
  <si>
    <t xml:space="preserve"> 1 расход газа</t>
  </si>
  <si>
    <t>уходящие газы</t>
  </si>
  <si>
    <t xml:space="preserve"> 9 состав</t>
  </si>
  <si>
    <t>бак запаса воды</t>
  </si>
  <si>
    <t xml:space="preserve">  Температура уходящих газов,ºС</t>
  </si>
  <si>
    <t>котёл №2</t>
  </si>
  <si>
    <t>200°C</t>
  </si>
  <si>
    <t>калорифер</t>
  </si>
  <si>
    <t>c химнедожогом</t>
  </si>
  <si>
    <t>при номин. теплопроизв-ти</t>
  </si>
  <si>
    <t>при фактич. теплопроизв-ти</t>
  </si>
  <si>
    <t>контроллер</t>
  </si>
  <si>
    <t>щита "Контэл"</t>
  </si>
  <si>
    <t>“20%”</t>
  </si>
  <si>
    <t>“50%”</t>
  </si>
  <si>
    <t>“80%”</t>
  </si>
  <si>
    <t>“100%”</t>
  </si>
  <si>
    <t xml:space="preserve"> Отн. частота вращения дутьевого вентилятора</t>
  </si>
  <si>
    <t xml:space="preserve">Удельн. расход усл. топлива, кгут/Гкал </t>
  </si>
  <si>
    <t>“фото”</t>
  </si>
  <si>
    <r>
      <t>t</t>
    </r>
    <r>
      <rPr>
        <vertAlign val="subscript"/>
        <sz val="14"/>
        <rFont val="Times New Roman"/>
        <family val="1"/>
      </rPr>
      <t>вых</t>
    </r>
  </si>
  <si>
    <r>
      <t>t</t>
    </r>
    <r>
      <rPr>
        <vertAlign val="subscript"/>
        <sz val="14"/>
        <rFont val="Times New Roman"/>
        <family val="1"/>
      </rPr>
      <t>вх</t>
    </r>
  </si>
  <si>
    <r>
      <t>Q</t>
    </r>
    <r>
      <rPr>
        <vertAlign val="superscript"/>
        <sz val="14"/>
        <rFont val="Times New Roman"/>
        <family val="1"/>
      </rPr>
      <t>р</t>
    </r>
    <r>
      <rPr>
        <vertAlign val="subscript"/>
        <sz val="14"/>
        <rFont val="Times New Roman"/>
        <family val="1"/>
      </rPr>
      <t>н</t>
    </r>
  </si>
  <si>
    <r>
      <t>p</t>
    </r>
    <r>
      <rPr>
        <vertAlign val="subscript"/>
        <sz val="14"/>
        <rFont val="Times New Roman"/>
        <family val="1"/>
      </rPr>
      <t>г</t>
    </r>
  </si>
  <si>
    <r>
      <t>B</t>
    </r>
    <r>
      <rPr>
        <vertAlign val="subscript"/>
        <sz val="14"/>
        <rFont val="Times New Roman"/>
        <family val="1"/>
      </rPr>
      <t>г</t>
    </r>
  </si>
  <si>
    <r>
      <t>t</t>
    </r>
    <r>
      <rPr>
        <vertAlign val="subscript"/>
        <sz val="14"/>
        <rFont val="Times New Roman"/>
        <family val="1"/>
      </rPr>
      <t>в</t>
    </r>
  </si>
  <si>
    <r>
      <t>t</t>
    </r>
    <r>
      <rPr>
        <vertAlign val="subscript"/>
        <sz val="14"/>
        <rFont val="Times New Roman"/>
        <family val="1"/>
      </rPr>
      <t>ух</t>
    </r>
  </si>
  <si>
    <r>
      <t>O</t>
    </r>
    <r>
      <rPr>
        <vertAlign val="subscript"/>
        <sz val="14"/>
        <rFont val="Times New Roman"/>
        <family val="1"/>
      </rPr>
      <t>2</t>
    </r>
  </si>
  <si>
    <r>
      <t>CO</t>
    </r>
    <r>
      <rPr>
        <vertAlign val="subscript"/>
        <sz val="14"/>
        <rFont val="Times New Roman"/>
        <family val="1"/>
      </rPr>
      <t>2</t>
    </r>
  </si>
  <si>
    <r>
      <t>q</t>
    </r>
    <r>
      <rPr>
        <vertAlign val="subscript"/>
        <sz val="14"/>
        <rFont val="Times New Roman"/>
        <family val="1"/>
      </rPr>
      <t>5н</t>
    </r>
  </si>
  <si>
    <r>
      <t>q</t>
    </r>
    <r>
      <rPr>
        <vertAlign val="subscript"/>
        <sz val="14"/>
        <rFont val="Times New Roman"/>
        <family val="1"/>
      </rPr>
      <t>5ф</t>
    </r>
  </si>
  <si>
    <r>
      <t>h</t>
    </r>
    <r>
      <rPr>
        <vertAlign val="subscript"/>
        <sz val="14"/>
        <rFont val="Times New Roman"/>
        <family val="1"/>
      </rPr>
      <t>обр</t>
    </r>
  </si>
  <si>
    <r>
      <t>B</t>
    </r>
    <r>
      <rPr>
        <vertAlign val="subscript"/>
        <sz val="14"/>
        <rFont val="Times New Roman"/>
        <family val="1"/>
      </rPr>
      <t>у</t>
    </r>
  </si>
  <si>
    <r>
      <t>h</t>
    </r>
    <r>
      <rPr>
        <vertAlign val="subscript"/>
        <sz val="14"/>
        <rFont val="Times New Roman"/>
        <family val="1"/>
      </rPr>
      <t>пр</t>
    </r>
  </si>
  <si>
    <r>
      <t>h</t>
    </r>
    <r>
      <rPr>
        <vertAlign val="subscript"/>
        <sz val="14"/>
        <rFont val="Times New Roman"/>
        <family val="1"/>
      </rPr>
      <t>пр</t>
    </r>
    <r>
      <rPr>
        <sz val="14"/>
        <rFont val="Times New Roman"/>
        <family val="1"/>
      </rPr>
      <t xml:space="preserve"> - h</t>
    </r>
    <r>
      <rPr>
        <vertAlign val="subscript"/>
        <sz val="14"/>
        <rFont val="Times New Roman"/>
        <family val="1"/>
      </rPr>
      <t>обр</t>
    </r>
  </si>
  <si>
    <r>
      <t>0,002 м</t>
    </r>
    <r>
      <rPr>
        <vertAlign val="superscript"/>
        <sz val="14"/>
        <rFont val="Times New Roman"/>
        <family val="1"/>
      </rPr>
      <t>3</t>
    </r>
  </si>
  <si>
    <t>G</t>
  </si>
  <si>
    <r>
      <t>p</t>
    </r>
    <r>
      <rPr>
        <vertAlign val="subscript"/>
        <sz val="14"/>
        <rFont val="Times New Roman"/>
        <family val="1"/>
      </rPr>
      <t>вых</t>
    </r>
  </si>
  <si>
    <r>
      <t>NO</t>
    </r>
    <r>
      <rPr>
        <vertAlign val="subscript"/>
        <sz val="14"/>
        <rFont val="Times New Roman"/>
        <family val="1"/>
      </rPr>
      <t xml:space="preserve"> </t>
    </r>
    <r>
      <rPr>
        <sz val="14"/>
        <rFont val="Times New Roman"/>
        <family val="1"/>
      </rPr>
      <t>, ppm</t>
    </r>
  </si>
  <si>
    <t>NO</t>
  </si>
  <si>
    <t>z</t>
  </si>
  <si>
    <t>a</t>
  </si>
  <si>
    <r>
      <t>q</t>
    </r>
    <r>
      <rPr>
        <vertAlign val="subscript"/>
        <sz val="14"/>
        <rFont val="Times New Roman"/>
        <family val="1"/>
      </rPr>
      <t>2</t>
    </r>
  </si>
  <si>
    <r>
      <t>q</t>
    </r>
    <r>
      <rPr>
        <vertAlign val="subscript"/>
        <sz val="14"/>
        <rFont val="Times New Roman"/>
        <family val="1"/>
      </rPr>
      <t>3</t>
    </r>
  </si>
  <si>
    <t xml:space="preserve"> Тепловая нагрузка по индикатору горелки</t>
  </si>
  <si>
    <r>
      <t xml:space="preserve">  Низшая теплота сгорания, ккал/нм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 xml:space="preserve"> (20°C)</t>
    </r>
  </si>
  <si>
    <r>
      <t xml:space="preserve">  Расход газа, нм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>/ч (20°C)</t>
    </r>
  </si>
  <si>
    <r>
      <t>О</t>
    </r>
    <r>
      <rPr>
        <vertAlign val="subscript"/>
        <sz val="14"/>
        <rFont val="Times New Roman"/>
        <family val="1"/>
      </rPr>
      <t xml:space="preserve">2 </t>
    </r>
    <r>
      <rPr>
        <sz val="14"/>
        <rFont val="Times New Roman"/>
        <family val="1"/>
      </rPr>
      <t>, %</t>
    </r>
  </si>
  <si>
    <r>
      <t>СО</t>
    </r>
    <r>
      <rPr>
        <vertAlign val="subscript"/>
        <sz val="14"/>
        <rFont val="Times New Roman"/>
        <family val="1"/>
      </rPr>
      <t xml:space="preserve">2 </t>
    </r>
    <r>
      <rPr>
        <sz val="14"/>
        <rFont val="Times New Roman"/>
        <family val="1"/>
      </rPr>
      <t>, %</t>
    </r>
  </si>
  <si>
    <t xml:space="preserve"> 7 температура воды</t>
  </si>
  <si>
    <t xml:space="preserve"> 8 давление воды</t>
  </si>
  <si>
    <t>1 ppm</t>
  </si>
  <si>
    <t>MRU Delta 2000 CD</t>
  </si>
  <si>
    <t>NO: 0,2%</t>
  </si>
  <si>
    <t xml:space="preserve"> температура</t>
  </si>
  <si>
    <t>2017 г.</t>
  </si>
  <si>
    <t>водогрейного котла Турботерм-Гарант-2000  уст.№3</t>
  </si>
  <si>
    <t>Турботерм-Гарант-2000</t>
  </si>
  <si>
    <t>Технический директор – главный инженер</t>
  </si>
  <si>
    <t>корректор EK270</t>
  </si>
  <si>
    <t xml:space="preserve"> в опуске у котла</t>
  </si>
  <si>
    <t xml:space="preserve"> 2 давление газа</t>
  </si>
  <si>
    <t xml:space="preserve"> 3 температура </t>
  </si>
  <si>
    <t xml:space="preserve"> Давление газа в опуске у котла, кПа</t>
  </si>
  <si>
    <t xml:space="preserve">  Давление газа в опуске у котла, кПа</t>
  </si>
  <si>
    <t xml:space="preserve"> Давл. газа после котлового регулятора, кПа</t>
  </si>
  <si>
    <t xml:space="preserve"> 5 давление газа</t>
  </si>
  <si>
    <t xml:space="preserve"> 4 расход воды </t>
  </si>
  <si>
    <t xml:space="preserve">Топливо – природный газ  </t>
  </si>
  <si>
    <t>с водогрейными котлами “Megaprex N”</t>
  </si>
  <si>
    <t>в котельной школы и детского сада</t>
  </si>
  <si>
    <t>RVG G25  Dу50,</t>
  </si>
  <si>
    <r>
      <t>40 м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>/ч</t>
    </r>
  </si>
  <si>
    <t>4 кПа</t>
  </si>
  <si>
    <t>0,1 кПа</t>
  </si>
  <si>
    <t>на выходе стабилизатора</t>
  </si>
  <si>
    <t>мановакуумметр</t>
  </si>
  <si>
    <t>U-образный</t>
  </si>
  <si>
    <t>1 мм вод.ст.</t>
  </si>
  <si>
    <t>термоманометр</t>
  </si>
  <si>
    <t>ТМТБ3</t>
  </si>
  <si>
    <t>0,6 МПа</t>
  </si>
  <si>
    <t>0,01 МПа</t>
  </si>
  <si>
    <t>2,5</t>
  </si>
  <si>
    <t>прямая сетевая вода</t>
  </si>
  <si>
    <t>обратная сетевая вода</t>
  </si>
  <si>
    <t>установка умягчения</t>
  </si>
  <si>
    <t>подогреватель бака запаса воды</t>
  </si>
  <si>
    <t>водогрейного котла “Megaprex N 150”  уст.№1</t>
  </si>
  <si>
    <t>водогрейного котла “Megaprex N 150”  уст.№2</t>
  </si>
  <si>
    <t>Давл. газа на выходе стабилизатора,мм вод.ст.</t>
  </si>
  <si>
    <r>
      <t xml:space="preserve">Технический директор </t>
    </r>
    <r>
      <rPr>
        <sz val="14"/>
        <rFont val="Arial Cyr"/>
        <family val="0"/>
      </rPr>
      <t>–</t>
    </r>
    <r>
      <rPr>
        <sz val="10.5"/>
        <rFont val="Times New Roman"/>
        <family val="1"/>
      </rPr>
      <t xml:space="preserve"> </t>
    </r>
    <r>
      <rPr>
        <sz val="14"/>
        <rFont val="Times New Roman"/>
        <family val="1"/>
      </rPr>
      <t>главный инженер</t>
    </r>
  </si>
  <si>
    <t>"Megaprex N 150"</t>
  </si>
  <si>
    <t>м.г.</t>
  </si>
  <si>
    <t>Б.г.</t>
  </si>
  <si>
    <t>Давл.газа на вых.стабилизатора,мм в.ст.</t>
  </si>
  <si>
    <t>малое</t>
  </si>
  <si>
    <t>горение</t>
  </si>
  <si>
    <t>Большое</t>
  </si>
  <si>
    <t xml:space="preserve">  Величина</t>
  </si>
  <si>
    <r>
      <t xml:space="preserve">  Низшая теплота сгорания, ккал/нм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 xml:space="preserve"> </t>
    </r>
  </si>
  <si>
    <r>
      <t xml:space="preserve"> Низшая теплота сгорания, ккал/нм</t>
    </r>
    <r>
      <rPr>
        <vertAlign val="superscript"/>
        <sz val="14"/>
        <rFont val="Times New Roman"/>
        <family val="1"/>
      </rPr>
      <t>3</t>
    </r>
  </si>
  <si>
    <t>120°C</t>
  </si>
  <si>
    <t>2°C</t>
  </si>
  <si>
    <t>сетевая вода</t>
  </si>
  <si>
    <t>600мм в.ст.</t>
  </si>
  <si>
    <t>НМ 100 Р</t>
  </si>
  <si>
    <t>Кпд  ном</t>
  </si>
  <si>
    <t>Bг ном</t>
  </si>
  <si>
    <t>ОП “Гермосервис”</t>
  </si>
  <si>
    <t xml:space="preserve"> село Прохоровское</t>
  </si>
  <si>
    <t>Малинин    2017</t>
  </si>
  <si>
    <t>ОАО “Малининские коммунальные системы”</t>
  </si>
  <si>
    <t>ОП ОАО МКС “Гермосервис”</t>
  </si>
  <si>
    <t>А.Б. Радов</t>
  </si>
  <si>
    <t>Начальник отдела наладки</t>
  </si>
  <si>
    <t>В.Г. Дубов</t>
  </si>
  <si>
    <t>инженер по наладке и испытаниям Ж.З. Умнов</t>
  </si>
  <si>
    <t>инженер по наладке и испытаниям  Ж.З. Умнов</t>
  </si>
  <si>
    <t>инженер по наладке и испытаниям  Д.Е. Пашутин</t>
  </si>
  <si>
    <t>ОП ОАО МКС “Наноэнерго”</t>
  </si>
  <si>
    <t>И.К. Неваляев</t>
  </si>
  <si>
    <t>в котельной школы и детского сада села “Прохоровское”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</si>
</sst>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#,##0&quot; рубб&quot;;\-#,##0&quot; рубб&quot;"/>
    <numFmt numFmtId="173" formatCode="#,##0&quot; рубб&quot;;[Red]\-#,##0&quot; рубб&quot;"/>
    <numFmt numFmtId="174" formatCode="#,##0.00&quot; рубб&quot;;\-#,##0.00&quot; рубб&quot;"/>
    <numFmt numFmtId="175" formatCode="#,##0.00&quot; рубб&quot;;[Red]\-#,##0.00&quot; рубб&quot;"/>
    <numFmt numFmtId="176" formatCode="_-* #,##0&quot; рубб&quot;_-;\-* #,##0&quot; рубб&quot;_-;_-* &quot;-&quot;&quot; рубб&quot;_-;_-@_-"/>
    <numFmt numFmtId="177" formatCode="_-* #,##0_ _р_у_б_._-;\-* #,##0_ _р_у_б_._-;_-* &quot;-&quot;_ _р_у_б_._-;_-@_-"/>
    <numFmt numFmtId="178" formatCode="_-* #,##0.00&quot; рубб&quot;_-;\-* #,##0.00&quot; рубб&quot;_-;_-* &quot;-&quot;??&quot; рубб&quot;_-;_-@_-"/>
    <numFmt numFmtId="179" formatCode="_-* #,##0.00_ _р_у_б_._-;\-* #,##0.00_ _р_у_б_._-;_-* &quot;-&quot;??_ _р_у_б_._-;_-@_-"/>
    <numFmt numFmtId="180" formatCode="#,##0\ &quot;руб.&quot;;\-#,##0\ &quot;руб.&quot;"/>
    <numFmt numFmtId="181" formatCode="#,##0\ &quot;руб.&quot;;[Red]\-#,##0\ &quot;руб.&quot;"/>
    <numFmt numFmtId="182" formatCode="#,##0.00\ &quot;руб.&quot;;\-#,##0.00\ &quot;руб.&quot;"/>
    <numFmt numFmtId="183" formatCode="#,##0.00\ &quot;руб.&quot;;[Red]\-#,##0.00\ &quot;руб.&quot;"/>
    <numFmt numFmtId="184" formatCode="_-* #,##0\ &quot;руб.&quot;_-;\-* #,##0\ &quot;руб.&quot;_-;_-* &quot;-&quot;\ &quot;руб.&quot;_-;_-@_-"/>
    <numFmt numFmtId="185" formatCode="_-* #,##0\ _р_у_б_._-;\-* #,##0\ _р_у_б_._-;_-* &quot;-&quot;\ _р_у_б_._-;_-@_-"/>
    <numFmt numFmtId="186" formatCode="_-* #,##0.00\ &quot;руб.&quot;_-;\-* #,##0.00\ &quot;руб.&quot;_-;_-* &quot;-&quot;??\ &quot;руб.&quot;_-;_-@_-"/>
    <numFmt numFmtId="187" formatCode="_-* #,##0.00\ _р_у_б_._-;\-* #,##0.00\ _р_у_б_._-;_-* &quot;-&quot;??\ _р_у_б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[$€-2]\ ###,000_);[Red]\([$€-2]\ ###,000\)"/>
  </numFmts>
  <fonts count="50">
    <font>
      <sz val="10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i/>
      <vertAlign val="subscript"/>
      <sz val="14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2"/>
      <name val="Arial Cyr"/>
      <family val="2"/>
    </font>
    <font>
      <sz val="11"/>
      <name val="Times New Roman"/>
      <family val="1"/>
    </font>
    <font>
      <u val="single"/>
      <sz val="10"/>
      <name val="Arial Cyr"/>
      <family val="2"/>
    </font>
    <font>
      <sz val="11.5"/>
      <name val="Arial Cyr"/>
      <family val="0"/>
    </font>
    <font>
      <b/>
      <sz val="9.5"/>
      <name val="Arial Cyr"/>
      <family val="2"/>
    </font>
    <font>
      <sz val="11"/>
      <name val="Arial Cyr"/>
      <family val="0"/>
    </font>
    <font>
      <sz val="11.25"/>
      <name val="Arial Cyr"/>
      <family val="0"/>
    </font>
    <font>
      <sz val="10.75"/>
      <name val="Arial Cyr"/>
      <family val="0"/>
    </font>
    <font>
      <sz val="1.25"/>
      <name val="Arial Cyr"/>
      <family val="0"/>
    </font>
    <font>
      <b/>
      <sz val="1"/>
      <name val="Arial Cyr"/>
      <family val="2"/>
    </font>
    <font>
      <b/>
      <sz val="1.25"/>
      <name val="Arial Cyr"/>
      <family val="2"/>
    </font>
    <font>
      <sz val="10.5"/>
      <name val="Arial Cyr"/>
      <family val="0"/>
    </font>
    <font>
      <sz val="8.25"/>
      <name val="Arial Cyr"/>
      <family val="0"/>
    </font>
    <font>
      <b/>
      <vertAlign val="subscript"/>
      <sz val="9.5"/>
      <name val="Arial Cyr"/>
      <family val="0"/>
    </font>
    <font>
      <sz val="8.75"/>
      <name val="Arial Cyr"/>
      <family val="0"/>
    </font>
    <font>
      <b/>
      <sz val="8.25"/>
      <name val="Arial Cyr"/>
      <family val="2"/>
    </font>
    <font>
      <sz val="8"/>
      <name val="Arial Cyr"/>
      <family val="0"/>
    </font>
    <font>
      <b/>
      <sz val="14"/>
      <name val="Arial Cyr"/>
      <family val="2"/>
    </font>
    <font>
      <b/>
      <sz val="11"/>
      <name val="Arial Cyr"/>
      <family val="2"/>
    </font>
    <font>
      <b/>
      <vertAlign val="subscript"/>
      <sz val="11"/>
      <name val="Arial Cyr"/>
      <family val="0"/>
    </font>
    <font>
      <b/>
      <sz val="10"/>
      <name val="Arial Cyr"/>
      <family val="2"/>
    </font>
    <font>
      <b/>
      <vertAlign val="superscript"/>
      <sz val="10"/>
      <name val="Arial Cyr"/>
      <family val="0"/>
    </font>
    <font>
      <b/>
      <vertAlign val="superscript"/>
      <sz val="11"/>
      <name val="Arial Cyr"/>
      <family val="0"/>
    </font>
    <font>
      <b/>
      <sz val="9.75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u val="single"/>
      <sz val="14"/>
      <color indexed="12"/>
      <name val="Times New Roman"/>
      <family val="0"/>
    </font>
    <font>
      <u val="single"/>
      <sz val="14"/>
      <color indexed="36"/>
      <name val="Times New Roman"/>
      <family val="0"/>
    </font>
    <font>
      <sz val="14"/>
      <name val="Arial Cyr"/>
      <family val="0"/>
    </font>
    <font>
      <i/>
      <sz val="14"/>
      <name val="Symbol"/>
      <family val="1"/>
    </font>
    <font>
      <sz val="14"/>
      <color indexed="8"/>
      <name val="Times New Roman"/>
      <family val="1"/>
    </font>
    <font>
      <sz val="11.75"/>
      <name val="Arial Cyr"/>
      <family val="0"/>
    </font>
    <font>
      <vertAlign val="superscript"/>
      <sz val="10"/>
      <name val="Arial Cyr"/>
      <family val="0"/>
    </font>
    <font>
      <sz val="16"/>
      <name val="Arial Cyr"/>
      <family val="0"/>
    </font>
    <font>
      <vertAlign val="superscript"/>
      <sz val="16"/>
      <name val="Arial Cyr"/>
      <family val="0"/>
    </font>
    <font>
      <sz val="14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4"/>
      <name val="Symbol"/>
      <family val="1"/>
    </font>
    <font>
      <sz val="10.5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double"/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3" xfId="0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28" fillId="0" borderId="11" xfId="0" applyFont="1" applyBorder="1" applyAlignment="1">
      <alignment horizontal="left"/>
    </xf>
    <xf numFmtId="0" fontId="28" fillId="0" borderId="2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28" fillId="0" borderId="0" xfId="0" applyFont="1" applyAlignment="1">
      <alignment/>
    </xf>
    <xf numFmtId="0" fontId="34" fillId="2" borderId="23" xfId="0" applyFont="1" applyFill="1" applyBorder="1" applyAlignment="1">
      <alignment horizontal="center"/>
    </xf>
    <xf numFmtId="0" fontId="0" fillId="3" borderId="24" xfId="0" applyFont="1" applyFill="1" applyBorder="1" applyAlignment="1">
      <alignment/>
    </xf>
    <xf numFmtId="0" fontId="0" fillId="4" borderId="0" xfId="0" applyFill="1" applyAlignment="1">
      <alignment/>
    </xf>
    <xf numFmtId="0" fontId="34" fillId="4" borderId="17" xfId="0" applyFont="1" applyFill="1" applyBorder="1" applyAlignment="1">
      <alignment horizontal="center"/>
    </xf>
    <xf numFmtId="0" fontId="0" fillId="4" borderId="0" xfId="0" applyFill="1" applyBorder="1" applyAlignment="1">
      <alignment/>
    </xf>
    <xf numFmtId="0" fontId="30" fillId="5" borderId="25" xfId="0" applyFont="1" applyFill="1" applyBorder="1" applyAlignment="1">
      <alignment horizontal="center"/>
    </xf>
    <xf numFmtId="0" fontId="30" fillId="5" borderId="26" xfId="0" applyFont="1" applyFill="1" applyBorder="1" applyAlignment="1">
      <alignment horizontal="center"/>
    </xf>
    <xf numFmtId="0" fontId="30" fillId="6" borderId="27" xfId="0" applyFont="1" applyFill="1" applyBorder="1" applyAlignment="1">
      <alignment horizontal="center"/>
    </xf>
    <xf numFmtId="0" fontId="30" fillId="6" borderId="26" xfId="0" applyFont="1" applyFill="1" applyBorder="1" applyAlignment="1">
      <alignment horizontal="center"/>
    </xf>
    <xf numFmtId="0" fontId="34" fillId="4" borderId="21" xfId="0" applyFont="1" applyFill="1" applyBorder="1" applyAlignment="1">
      <alignment/>
    </xf>
    <xf numFmtId="0" fontId="34" fillId="0" borderId="23" xfId="0" applyFont="1" applyFill="1" applyBorder="1" applyAlignment="1">
      <alignment horizontal="center"/>
    </xf>
    <xf numFmtId="0" fontId="30" fillId="5" borderId="28" xfId="0" applyFont="1" applyFill="1" applyBorder="1" applyAlignment="1">
      <alignment horizontal="center"/>
    </xf>
    <xf numFmtId="0" fontId="30" fillId="5" borderId="29" xfId="0" applyFont="1" applyFill="1" applyBorder="1" applyAlignment="1">
      <alignment horizontal="center"/>
    </xf>
    <xf numFmtId="0" fontId="30" fillId="6" borderId="30" xfId="0" applyFont="1" applyFill="1" applyBorder="1" applyAlignment="1">
      <alignment horizontal="center"/>
    </xf>
    <xf numFmtId="0" fontId="30" fillId="6" borderId="31" xfId="0" applyFont="1" applyFill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4" fillId="4" borderId="0" xfId="0" applyFont="1" applyFill="1" applyBorder="1" applyAlignment="1">
      <alignment horizontal="center"/>
    </xf>
    <xf numFmtId="0" fontId="34" fillId="4" borderId="0" xfId="0" applyFont="1" applyFill="1" applyBorder="1" applyAlignment="1">
      <alignment/>
    </xf>
    <xf numFmtId="0" fontId="34" fillId="0" borderId="32" xfId="0" applyFont="1" applyBorder="1" applyAlignment="1">
      <alignment horizontal="center"/>
    </xf>
    <xf numFmtId="0" fontId="30" fillId="0" borderId="32" xfId="0" applyFont="1" applyBorder="1" applyAlignment="1">
      <alignment horizontal="center"/>
    </xf>
    <xf numFmtId="0" fontId="34" fillId="7" borderId="32" xfId="0" applyFont="1" applyFill="1" applyBorder="1" applyAlignment="1">
      <alignment horizontal="center"/>
    </xf>
    <xf numFmtId="0" fontId="0" fillId="7" borderId="32" xfId="0" applyFont="1" applyFill="1" applyBorder="1" applyAlignment="1">
      <alignment horizontal="center"/>
    </xf>
    <xf numFmtId="0" fontId="30" fillId="5" borderId="33" xfId="0" applyFont="1" applyFill="1" applyBorder="1" applyAlignment="1">
      <alignment horizontal="center"/>
    </xf>
    <xf numFmtId="0" fontId="30" fillId="5" borderId="3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3" borderId="23" xfId="0" applyFont="1" applyFill="1" applyBorder="1" applyAlignment="1">
      <alignment horizontal="center"/>
    </xf>
    <xf numFmtId="0" fontId="30" fillId="0" borderId="23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Alignment="1">
      <alignment/>
    </xf>
    <xf numFmtId="0" fontId="30" fillId="6" borderId="28" xfId="0" applyFont="1" applyFill="1" applyBorder="1" applyAlignment="1">
      <alignment horizontal="center"/>
    </xf>
    <xf numFmtId="0" fontId="30" fillId="6" borderId="29" xfId="0" applyFont="1" applyFill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30" fillId="2" borderId="23" xfId="0" applyFont="1" applyFill="1" applyBorder="1" applyAlignment="1">
      <alignment horizontal="left"/>
    </xf>
    <xf numFmtId="0" fontId="34" fillId="2" borderId="35" xfId="0" applyFont="1" applyFill="1" applyBorder="1" applyAlignment="1">
      <alignment horizontal="center"/>
    </xf>
    <xf numFmtId="0" fontId="0" fillId="3" borderId="35" xfId="0" applyFont="1" applyFill="1" applyBorder="1" applyAlignment="1">
      <alignment horizontal="center"/>
    </xf>
    <xf numFmtId="0" fontId="30" fillId="6" borderId="33" xfId="0" applyFont="1" applyFill="1" applyBorder="1" applyAlignment="1">
      <alignment horizontal="center"/>
    </xf>
    <xf numFmtId="0" fontId="30" fillId="6" borderId="34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30" fillId="8" borderId="28" xfId="0" applyFont="1" applyFill="1" applyBorder="1" applyAlignment="1">
      <alignment horizontal="center"/>
    </xf>
    <xf numFmtId="0" fontId="30" fillId="8" borderId="29" xfId="0" applyFont="1" applyFill="1" applyBorder="1" applyAlignment="1">
      <alignment horizontal="center"/>
    </xf>
    <xf numFmtId="0" fontId="34" fillId="7" borderId="23" xfId="0" applyFont="1" applyFill="1" applyBorder="1" applyAlignment="1">
      <alignment horizontal="center"/>
    </xf>
    <xf numFmtId="0" fontId="0" fillId="7" borderId="23" xfId="0" applyFont="1" applyFill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4" fillId="2" borderId="23" xfId="0" applyFont="1" applyFill="1" applyBorder="1" applyAlignment="1">
      <alignment horizontal="left"/>
    </xf>
    <xf numFmtId="0" fontId="30" fillId="8" borderId="33" xfId="0" applyFont="1" applyFill="1" applyBorder="1" applyAlignment="1">
      <alignment horizontal="center"/>
    </xf>
    <xf numFmtId="0" fontId="30" fillId="8" borderId="34" xfId="0" applyFont="1" applyFill="1" applyBorder="1" applyAlignment="1">
      <alignment horizontal="center"/>
    </xf>
    <xf numFmtId="0" fontId="30" fillId="9" borderId="28" xfId="0" applyFont="1" applyFill="1" applyBorder="1" applyAlignment="1">
      <alignment horizontal="center"/>
    </xf>
    <xf numFmtId="0" fontId="30" fillId="9" borderId="29" xfId="0" applyFont="1" applyFill="1" applyBorder="1" applyAlignment="1">
      <alignment horizontal="center"/>
    </xf>
    <xf numFmtId="0" fontId="34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/>
    </xf>
    <xf numFmtId="0" fontId="30" fillId="4" borderId="0" xfId="0" applyFont="1" applyFill="1" applyAlignment="1">
      <alignment/>
    </xf>
    <xf numFmtId="0" fontId="30" fillId="7" borderId="23" xfId="0" applyFont="1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0" fillId="9" borderId="30" xfId="0" applyFont="1" applyFill="1" applyBorder="1" applyAlignment="1">
      <alignment horizontal="center"/>
    </xf>
    <xf numFmtId="0" fontId="30" fillId="9" borderId="31" xfId="0" applyFont="1" applyFill="1" applyBorder="1" applyAlignment="1">
      <alignment horizontal="center"/>
    </xf>
    <xf numFmtId="0" fontId="34" fillId="4" borderId="36" xfId="0" applyFont="1" applyFill="1" applyBorder="1" applyAlignment="1">
      <alignment horizontal="center"/>
    </xf>
    <xf numFmtId="0" fontId="0" fillId="4" borderId="36" xfId="0" applyFont="1" applyFill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32" xfId="0" applyFont="1" applyFill="1" applyBorder="1" applyAlignment="1">
      <alignment horizontal="center"/>
    </xf>
    <xf numFmtId="0" fontId="30" fillId="0" borderId="23" xfId="0" applyFont="1" applyBorder="1" applyAlignment="1">
      <alignment horizontal="left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1" fillId="0" borderId="8" xfId="0" applyFont="1" applyBorder="1" applyAlignment="1">
      <alignment/>
    </xf>
    <xf numFmtId="0" fontId="30" fillId="3" borderId="23" xfId="0" applyFont="1" applyFill="1" applyBorder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1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38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4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8" fillId="0" borderId="1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49" fontId="1" fillId="0" borderId="44" xfId="0" applyNumberFormat="1" applyFont="1" applyBorder="1" applyAlignment="1">
      <alignment/>
    </xf>
    <xf numFmtId="0" fontId="39" fillId="0" borderId="0" xfId="0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9" fontId="3" fillId="0" borderId="10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40" fillId="0" borderId="0" xfId="0" applyFont="1" applyBorder="1" applyAlignment="1">
      <alignment/>
    </xf>
    <xf numFmtId="0" fontId="1" fillId="3" borderId="45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46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50" xfId="0" applyFont="1" applyBorder="1" applyAlignment="1">
      <alignment/>
    </xf>
    <xf numFmtId="0" fontId="1" fillId="0" borderId="46" xfId="0" applyFont="1" applyBorder="1" applyAlignment="1">
      <alignment horizont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3" fillId="0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9" fontId="1" fillId="0" borderId="55" xfId="0" applyNumberFormat="1" applyFont="1" applyBorder="1" applyAlignment="1">
      <alignment horizontal="center" vertical="center"/>
    </xf>
    <xf numFmtId="9" fontId="1" fillId="0" borderId="37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/>
    </xf>
    <xf numFmtId="0" fontId="1" fillId="0" borderId="43" xfId="0" applyFont="1" applyFill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1" fillId="0" borderId="42" xfId="0" applyFont="1" applyBorder="1" applyAlignment="1">
      <alignment/>
    </xf>
    <xf numFmtId="0" fontId="4" fillId="0" borderId="0" xfId="0" applyFont="1" applyAlignment="1">
      <alignment horizontal="center" vertical="top"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40" fillId="0" borderId="0" xfId="0" applyFont="1" applyBorder="1" applyAlignment="1">
      <alignment horizontal="left"/>
    </xf>
    <xf numFmtId="0" fontId="0" fillId="0" borderId="0" xfId="0" applyFont="1" applyAlignment="1">
      <alignment/>
    </xf>
    <xf numFmtId="9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57" xfId="0" applyBorder="1" applyAlignment="1">
      <alignment/>
    </xf>
    <xf numFmtId="0" fontId="0" fillId="10" borderId="57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38" fillId="0" borderId="46" xfId="0" applyFont="1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58" xfId="0" applyFont="1" applyBorder="1" applyAlignment="1">
      <alignment/>
    </xf>
    <xf numFmtId="0" fontId="0" fillId="0" borderId="51" xfId="0" applyBorder="1" applyAlignment="1">
      <alignment/>
    </xf>
    <xf numFmtId="0" fontId="4" fillId="0" borderId="0" xfId="0" applyFont="1" applyBorder="1" applyAlignment="1">
      <alignment horizontal="left"/>
    </xf>
    <xf numFmtId="0" fontId="1" fillId="0" borderId="59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0" fillId="0" borderId="0" xfId="0" applyFont="1" applyAlignment="1">
      <alignment/>
    </xf>
    <xf numFmtId="0" fontId="1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38" fillId="0" borderId="7" xfId="0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61" xfId="0" applyBorder="1" applyAlignment="1">
      <alignment/>
    </xf>
    <xf numFmtId="0" fontId="0" fillId="4" borderId="0" xfId="0" applyFill="1" applyAlignment="1">
      <alignment horizontal="left"/>
    </xf>
    <xf numFmtId="9" fontId="1" fillId="0" borderId="0" xfId="0" applyNumberFormat="1" applyFont="1" applyAlignment="1">
      <alignment/>
    </xf>
    <xf numFmtId="0" fontId="0" fillId="0" borderId="3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5" xfId="0" applyFont="1" applyBorder="1" applyAlignment="1">
      <alignment horizontal="center"/>
    </xf>
    <xf numFmtId="0" fontId="1" fillId="0" borderId="62" xfId="0" applyFont="1" applyBorder="1" applyAlignment="1">
      <alignment/>
    </xf>
    <xf numFmtId="0" fontId="1" fillId="0" borderId="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49" fontId="1" fillId="0" borderId="4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64" xfId="0" applyFont="1" applyFill="1" applyBorder="1" applyAlignment="1">
      <alignment/>
    </xf>
    <xf numFmtId="0" fontId="1" fillId="0" borderId="65" xfId="0" applyFont="1" applyFill="1" applyBorder="1" applyAlignment="1">
      <alignment/>
    </xf>
    <xf numFmtId="0" fontId="3" fillId="0" borderId="65" xfId="0" applyFont="1" applyFill="1" applyBorder="1" applyAlignment="1">
      <alignment/>
    </xf>
    <xf numFmtId="0" fontId="3" fillId="0" borderId="6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45" fillId="0" borderId="57" xfId="0" applyFont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5" fillId="0" borderId="0" xfId="0" applyFont="1" applyFill="1" applyBorder="1" applyAlignment="1">
      <alignment horizontal="left"/>
    </xf>
    <xf numFmtId="0" fontId="46" fillId="0" borderId="10" xfId="0" applyFont="1" applyBorder="1" applyAlignment="1">
      <alignment horizontal="center"/>
    </xf>
    <xf numFmtId="9" fontId="45" fillId="0" borderId="0" xfId="0" applyNumberFormat="1" applyFont="1" applyFill="1" applyBorder="1" applyAlignment="1">
      <alignment horizontal="center"/>
    </xf>
    <xf numFmtId="9" fontId="45" fillId="0" borderId="10" xfId="0" applyNumberFormat="1" applyFont="1" applyFill="1" applyBorder="1" applyAlignment="1">
      <alignment horizontal="center"/>
    </xf>
    <xf numFmtId="0" fontId="45" fillId="0" borderId="4" xfId="0" applyFont="1" applyFill="1" applyBorder="1" applyAlignment="1">
      <alignment horizontal="center"/>
    </xf>
    <xf numFmtId="0" fontId="45" fillId="0" borderId="60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37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65" xfId="0" applyFont="1" applyFill="1" applyBorder="1" applyAlignment="1">
      <alignment/>
    </xf>
    <xf numFmtId="0" fontId="45" fillId="0" borderId="66" xfId="0" applyFont="1" applyFill="1" applyBorder="1" applyAlignment="1">
      <alignment/>
    </xf>
    <xf numFmtId="0" fontId="45" fillId="0" borderId="2" xfId="0" applyFont="1" applyFill="1" applyBorder="1" applyAlignment="1">
      <alignment/>
    </xf>
    <xf numFmtId="0" fontId="45" fillId="0" borderId="11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62" xfId="0" applyFont="1" applyBorder="1" applyAlignment="1">
      <alignment horizontal="right"/>
    </xf>
    <xf numFmtId="0" fontId="47" fillId="0" borderId="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5" fillId="0" borderId="1" xfId="0" applyFont="1" applyFill="1" applyBorder="1" applyAlignment="1">
      <alignment horizontal="center"/>
    </xf>
    <xf numFmtId="0" fontId="45" fillId="0" borderId="44" xfId="0" applyFont="1" applyBorder="1" applyAlignment="1">
      <alignment/>
    </xf>
    <xf numFmtId="0" fontId="47" fillId="0" borderId="39" xfId="0" applyFont="1" applyFill="1" applyBorder="1" applyAlignment="1">
      <alignment horizontal="center"/>
    </xf>
    <xf numFmtId="0" fontId="45" fillId="0" borderId="40" xfId="0" applyFont="1" applyFill="1" applyBorder="1" applyAlignment="1">
      <alignment horizontal="center"/>
    </xf>
    <xf numFmtId="0" fontId="45" fillId="0" borderId="40" xfId="0" applyFont="1" applyBorder="1" applyAlignment="1">
      <alignment/>
    </xf>
    <xf numFmtId="9" fontId="45" fillId="0" borderId="40" xfId="0" applyNumberFormat="1" applyFont="1" applyFill="1" applyBorder="1" applyAlignment="1">
      <alignment horizontal="center"/>
    </xf>
    <xf numFmtId="0" fontId="45" fillId="0" borderId="67" xfId="0" applyFont="1" applyFill="1" applyBorder="1" applyAlignment="1">
      <alignment horizontal="center"/>
    </xf>
    <xf numFmtId="0" fontId="45" fillId="0" borderId="39" xfId="0" applyFont="1" applyFill="1" applyBorder="1" applyAlignment="1">
      <alignment horizontal="center"/>
    </xf>
    <xf numFmtId="0" fontId="45" fillId="0" borderId="40" xfId="0" applyFont="1" applyBorder="1" applyAlignment="1">
      <alignment horizontal="center"/>
    </xf>
    <xf numFmtId="0" fontId="45" fillId="0" borderId="68" xfId="0" applyFont="1" applyFill="1" applyBorder="1" applyAlignment="1">
      <alignment horizontal="center"/>
    </xf>
    <xf numFmtId="0" fontId="45" fillId="0" borderId="4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1" fillId="0" borderId="69" xfId="0" applyFont="1" applyBorder="1" applyAlignment="1">
      <alignment/>
    </xf>
    <xf numFmtId="0" fontId="40" fillId="0" borderId="70" xfId="0" applyFont="1" applyBorder="1" applyAlignment="1">
      <alignment/>
    </xf>
    <xf numFmtId="0" fontId="1" fillId="0" borderId="70" xfId="0" applyFont="1" applyBorder="1" applyAlignment="1">
      <alignment horizontal="center"/>
    </xf>
    <xf numFmtId="0" fontId="38" fillId="0" borderId="71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191" fontId="1" fillId="0" borderId="54" xfId="0" applyNumberFormat="1" applyFont="1" applyFill="1" applyBorder="1" applyAlignment="1">
      <alignment horizontal="center"/>
    </xf>
    <xf numFmtId="191" fontId="1" fillId="0" borderId="11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45" fillId="0" borderId="44" xfId="0" applyFont="1" applyBorder="1" applyAlignment="1">
      <alignment horizontal="center"/>
    </xf>
    <xf numFmtId="0" fontId="45" fillId="0" borderId="57" xfId="0" applyFont="1" applyBorder="1" applyAlignment="1">
      <alignment horizontal="center"/>
    </xf>
    <xf numFmtId="0" fontId="47" fillId="0" borderId="37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1" fillId="0" borderId="72" xfId="0" applyFont="1" applyFill="1" applyBorder="1" applyAlignment="1">
      <alignment/>
    </xf>
    <xf numFmtId="0" fontId="1" fillId="0" borderId="73" xfId="0" applyFont="1" applyFill="1" applyBorder="1" applyAlignment="1">
      <alignment/>
    </xf>
    <xf numFmtId="0" fontId="1" fillId="0" borderId="73" xfId="0" applyFont="1" applyFill="1" applyBorder="1" applyAlignment="1">
      <alignment horizontal="center"/>
    </xf>
    <xf numFmtId="0" fontId="45" fillId="0" borderId="74" xfId="0" applyFont="1" applyFill="1" applyBorder="1" applyAlignment="1">
      <alignment horizontal="center"/>
    </xf>
    <xf numFmtId="0" fontId="45" fillId="0" borderId="73" xfId="0" applyFont="1" applyFill="1" applyBorder="1" applyAlignment="1">
      <alignment horizontal="center"/>
    </xf>
    <xf numFmtId="0" fontId="45" fillId="0" borderId="75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1" xfId="0" applyFont="1" applyBorder="1" applyAlignment="1">
      <alignment horizontal="center" vertical="center"/>
    </xf>
    <xf numFmtId="0" fontId="1" fillId="0" borderId="41" xfId="0" applyFont="1" applyBorder="1" applyAlignment="1">
      <alignment horizontal="left" vertical="center"/>
    </xf>
    <xf numFmtId="0" fontId="0" fillId="0" borderId="24" xfId="0" applyFont="1" applyFill="1" applyBorder="1" applyAlignment="1">
      <alignment/>
    </xf>
    <xf numFmtId="0" fontId="0" fillId="0" borderId="2" xfId="0" applyBorder="1" applyAlignment="1">
      <alignment vertical="top"/>
    </xf>
    <xf numFmtId="0" fontId="0" fillId="0" borderId="11" xfId="0" applyBorder="1" applyAlignment="1">
      <alignment vertical="top"/>
    </xf>
    <xf numFmtId="0" fontId="1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2" xfId="0" applyBorder="1" applyAlignment="1">
      <alignment/>
    </xf>
    <xf numFmtId="0" fontId="0" fillId="0" borderId="12" xfId="0" applyBorder="1" applyAlignment="1">
      <alignment wrapText="1"/>
    </xf>
    <xf numFmtId="0" fontId="0" fillId="0" borderId="37" xfId="0" applyBorder="1" applyAlignment="1">
      <alignment/>
    </xf>
    <xf numFmtId="0" fontId="0" fillId="0" borderId="1" xfId="0" applyBorder="1" applyAlignment="1">
      <alignment wrapText="1"/>
    </xf>
    <xf numFmtId="0" fontId="0" fillId="0" borderId="10" xfId="0" applyBorder="1" applyAlignment="1">
      <alignment/>
    </xf>
    <xf numFmtId="0" fontId="0" fillId="0" borderId="38" xfId="0" applyBorder="1" applyAlignment="1">
      <alignment wrapText="1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38" xfId="0" applyBorder="1" applyAlignment="1">
      <alignment vertical="top"/>
    </xf>
    <xf numFmtId="0" fontId="3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1" xfId="0" applyBorder="1" applyAlignment="1">
      <alignment/>
    </xf>
    <xf numFmtId="0" fontId="1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37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30" fillId="0" borderId="38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22" xfId="0" applyFont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30" fillId="0" borderId="76" xfId="0" applyFont="1" applyBorder="1" applyAlignment="1">
      <alignment horizontal="center" wrapText="1"/>
    </xf>
    <xf numFmtId="0" fontId="30" fillId="0" borderId="20" xfId="0" applyFont="1" applyBorder="1" applyAlignment="1">
      <alignment horizontal="center" wrapText="1"/>
    </xf>
    <xf numFmtId="0" fontId="30" fillId="0" borderId="17" xfId="0" applyFont="1" applyBorder="1" applyAlignment="1">
      <alignment horizontal="center" wrapText="1"/>
    </xf>
    <xf numFmtId="0" fontId="30" fillId="0" borderId="21" xfId="0" applyFont="1" applyBorder="1" applyAlignment="1">
      <alignment horizontal="center" wrapText="1"/>
    </xf>
    <xf numFmtId="0" fontId="33" fillId="0" borderId="0" xfId="0" applyFont="1" applyAlignment="1">
      <alignment horizontal="center"/>
    </xf>
    <xf numFmtId="0" fontId="3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4" fillId="2" borderId="14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35" fillId="3" borderId="14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/>
    </xf>
    <xf numFmtId="0" fontId="30" fillId="0" borderId="0" xfId="0" applyFont="1" applyAlignment="1">
      <alignment horizontal="left"/>
    </xf>
    <xf numFmtId="0" fontId="1" fillId="0" borderId="63" xfId="0" applyFont="1" applyFill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"/>
          <c:w val="0.97175"/>
          <c:h val="0.91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poly"/>
            <c:order val="2"/>
            <c:dispEq val="0"/>
            <c:dispRSqr val="0"/>
          </c:trendline>
          <c:xVal>
            <c:numRef>
              <c:f>tiptop1!$G$68:$J$68</c:f>
              <c:numCache/>
            </c:numRef>
          </c:xVal>
          <c:yVal>
            <c:numRef>
              <c:f>tiptop1!$G$85:$J$85</c:f>
              <c:numCache/>
            </c:numRef>
          </c:yVal>
          <c:smooth val="1"/>
        </c:ser>
        <c:axId val="10883149"/>
        <c:axId val="30839478"/>
      </c:scatterChart>
      <c:valAx>
        <c:axId val="10883149"/>
        <c:scaling>
          <c:orientation val="minMax"/>
          <c:max val="2.6"/>
          <c:min val="0.5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0839478"/>
        <c:crosses val="autoZero"/>
        <c:crossBetween val="midCat"/>
        <c:dispUnits/>
        <c:majorUnit val="0.5"/>
        <c:minorUnit val="0.1"/>
      </c:valAx>
      <c:valAx>
        <c:axId val="30839478"/>
        <c:scaling>
          <c:orientation val="minMax"/>
          <c:max val="94"/>
          <c:min val="90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0883149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7575"/>
          <c:w val="0.777"/>
          <c:h val="0.92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5"/>
            <c:dispEq val="0"/>
            <c:dispRSqr val="0"/>
          </c:trendline>
          <c:xVal>
            <c:numLit>
              <c:ptCount val="2"/>
              <c:pt idx="0">
                <c:v>7.7</c:v>
              </c:pt>
              <c:pt idx="1">
                <c:v>0</c:v>
              </c:pt>
            </c:numLit>
          </c:xVal>
          <c:yVal>
            <c:numLit>
              <c:ptCount val="2"/>
              <c:pt idx="0">
                <c:v>7.45</c:v>
              </c:pt>
              <c:pt idx="1">
                <c:v>7.45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7.6923</c:v>
              </c:pt>
              <c:pt idx="1">
                <c:v>7.7</c:v>
              </c:pt>
            </c:numLit>
          </c:xVal>
          <c:yVal>
            <c:numLit>
              <c:ptCount val="2"/>
              <c:pt idx="0">
                <c:v>7.45</c:v>
              </c:pt>
              <c:pt idx="1">
                <c:v>0</c:v>
              </c:pt>
            </c:numLit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800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0</c:v>
              </c:pt>
              <c:pt idx="1">
                <c:v>21</c:v>
              </c:pt>
            </c:numLit>
          </c:xVal>
          <c:yVal>
            <c:numLit>
              <c:ptCount val="2"/>
              <c:pt idx="0">
                <c:v>11.8</c:v>
              </c:pt>
              <c:pt idx="1">
                <c:v>0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1"/>
              <c:pt idx="0">
                <c:v>7.7</c:v>
              </c:pt>
            </c:numLit>
          </c:xVal>
          <c:yVal>
            <c:numLit>
              <c:ptCount val="1"/>
              <c:pt idx="0">
                <c:v>7.45</c:v>
              </c:pt>
            </c:numLit>
          </c:yVal>
          <c:smooth val="0"/>
        </c:ser>
        <c:axId val="4068791"/>
        <c:axId val="36619120"/>
      </c:scatterChart>
      <c:valAx>
        <c:axId val="4068791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Cyr"/>
                    <a:ea typeface="Arial Cyr"/>
                    <a:cs typeface="Arial Cyr"/>
                  </a:rPr>
                  <a:t>О2, %</a:t>
                </a:r>
              </a:p>
            </c:rich>
          </c:tx>
          <c:layout>
            <c:manualLayout>
              <c:xMode val="factor"/>
              <c:yMode val="factor"/>
              <c:x val="0.04"/>
              <c:y val="0.13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6619120"/>
        <c:crosses val="autoZero"/>
        <c:crossBetween val="midCat"/>
        <c:dispUnits/>
        <c:majorUnit val="1"/>
        <c:minorUnit val="0.5"/>
      </c:valAx>
      <c:valAx>
        <c:axId val="36619120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Cyr"/>
                    <a:ea typeface="Arial Cyr"/>
                    <a:cs typeface="Arial Cyr"/>
                  </a:rPr>
                  <a:t>CO2, %</a:t>
                </a:r>
              </a:p>
            </c:rich>
          </c:tx>
          <c:layout>
            <c:manualLayout>
              <c:xMode val="factor"/>
              <c:yMode val="factor"/>
              <c:x val="0.024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068791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755"/>
          <c:w val="0.80425"/>
          <c:h val="0.92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5"/>
            <c:dispEq val="0"/>
            <c:dispRSqr val="0"/>
          </c:trendline>
          <c:xVal>
            <c:numLit>
              <c:ptCount val="2"/>
              <c:pt idx="0">
                <c:v>6.4</c:v>
              </c:pt>
              <c:pt idx="1">
                <c:v>0</c:v>
              </c:pt>
            </c:numLit>
          </c:xVal>
          <c:yVal>
            <c:numLit>
              <c:ptCount val="2"/>
              <c:pt idx="0">
                <c:v>8.19</c:v>
              </c:pt>
              <c:pt idx="1">
                <c:v>8.19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6.3936</c:v>
              </c:pt>
              <c:pt idx="1">
                <c:v>6.4</c:v>
              </c:pt>
            </c:numLit>
          </c:xVal>
          <c:yVal>
            <c:numLit>
              <c:ptCount val="2"/>
              <c:pt idx="0">
                <c:v>8.19</c:v>
              </c:pt>
              <c:pt idx="1">
                <c:v>0</c:v>
              </c:pt>
            </c:numLit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0</c:v>
              </c:pt>
              <c:pt idx="1">
                <c:v>21</c:v>
              </c:pt>
            </c:numLit>
          </c:xVal>
          <c:yVal>
            <c:numLit>
              <c:ptCount val="2"/>
              <c:pt idx="0">
                <c:v>11.8</c:v>
              </c:pt>
              <c:pt idx="1">
                <c:v>0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1"/>
              <c:pt idx="0">
                <c:v>6.4</c:v>
              </c:pt>
            </c:numLit>
          </c:xVal>
          <c:yVal>
            <c:numLit>
              <c:ptCount val="1"/>
              <c:pt idx="0">
                <c:v>8.19</c:v>
              </c:pt>
            </c:numLit>
          </c:yVal>
          <c:smooth val="0"/>
        </c:ser>
        <c:axId val="61136625"/>
        <c:axId val="13358714"/>
      </c:scatterChart>
      <c:valAx>
        <c:axId val="61136625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 Cyr"/>
                    <a:ea typeface="Arial Cyr"/>
                    <a:cs typeface="Arial Cyr"/>
                  </a:rPr>
                  <a:t>O2, %</a:t>
                </a:r>
              </a:p>
            </c:rich>
          </c:tx>
          <c:layout>
            <c:manualLayout>
              <c:xMode val="factor"/>
              <c:yMode val="factor"/>
              <c:x val="0.0297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3358714"/>
        <c:crosses val="autoZero"/>
        <c:crossBetween val="midCat"/>
        <c:dispUnits/>
        <c:majorUnit val="1"/>
        <c:minorUnit val="0.5"/>
      </c:valAx>
      <c:valAx>
        <c:axId val="13358714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 Cyr"/>
                    <a:ea typeface="Arial Cyr"/>
                    <a:cs typeface="Arial Cyr"/>
                  </a:rPr>
                  <a:t>CO2, %</a:t>
                </a:r>
              </a:p>
            </c:rich>
          </c:tx>
          <c:layout>
            <c:manualLayout>
              <c:xMode val="factor"/>
              <c:yMode val="factor"/>
              <c:x val="0.0202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61136625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trendlineType val="poly"/>
            <c:order val="4"/>
            <c:dispEq val="0"/>
            <c:dispRSqr val="0"/>
          </c:trendline>
          <c:xVal>
            <c:numLit>
              <c:ptCount val="2"/>
              <c:pt idx="0">
                <c:v>5.5</c:v>
              </c:pt>
              <c:pt idx="1">
                <c:v>0</c:v>
              </c:pt>
            </c:numLit>
          </c:xVal>
          <c:yVal>
            <c:numLit>
              <c:ptCount val="2"/>
              <c:pt idx="0">
                <c:v>8.69</c:v>
              </c:pt>
              <c:pt idx="1">
                <c:v>8.69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trendlineType val="linear"/>
            <c:dispEq val="0"/>
            <c:dispRSqr val="0"/>
          </c:trendline>
          <c:xVal>
            <c:numLit>
              <c:ptCount val="2"/>
              <c:pt idx="0">
                <c:v>5.4945</c:v>
              </c:pt>
              <c:pt idx="1">
                <c:v>5.5</c:v>
              </c:pt>
            </c:numLit>
          </c:xVal>
          <c:yVal>
            <c:numLit>
              <c:ptCount val="2"/>
              <c:pt idx="0">
                <c:v>8.69</c:v>
              </c:pt>
              <c:pt idx="1">
                <c:v>0</c:v>
              </c:pt>
            </c:numLit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8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0</c:v>
              </c:pt>
              <c:pt idx="1">
                <c:v>21</c:v>
              </c:pt>
            </c:numLit>
          </c:xVal>
          <c:yVal>
            <c:numLit>
              <c:ptCount val="2"/>
              <c:pt idx="0">
                <c:v>11.8</c:v>
              </c:pt>
              <c:pt idx="1">
                <c:v>0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1"/>
              <c:pt idx="0">
                <c:v>5.5</c:v>
              </c:pt>
            </c:numLit>
          </c:xVal>
          <c:yVal>
            <c:numLit>
              <c:ptCount val="1"/>
              <c:pt idx="0">
                <c:v>8.69</c:v>
              </c:pt>
            </c:numLit>
          </c:yVal>
          <c:smooth val="0"/>
        </c:ser>
        <c:axId val="53119563"/>
        <c:axId val="8314020"/>
      </c:scatterChart>
      <c:valAx>
        <c:axId val="53119563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Cyr"/>
                    <a:ea typeface="Arial Cyr"/>
                    <a:cs typeface="Arial Cyr"/>
                  </a:rPr>
                  <a:t>   
O2,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8314020"/>
        <c:crosses val="autoZero"/>
        <c:crossBetween val="midCat"/>
        <c:dispUnits/>
        <c:majorUnit val="1"/>
        <c:minorUnit val="0.5"/>
      </c:valAx>
      <c:valAx>
        <c:axId val="8314020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Cyr"/>
                    <a:ea typeface="Arial Cyr"/>
                    <a:cs typeface="Arial Cyr"/>
                  </a:rPr>
                  <a:t>CO2,%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3119563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tiptop1!$G$70:$J$70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tiptop1!$G$71:$J$71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7717317"/>
        <c:axId val="2346990"/>
      </c:scatterChart>
      <c:valAx>
        <c:axId val="7717317"/>
        <c:scaling>
          <c:orientation val="minMax"/>
          <c:max val="80"/>
          <c:min val="0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346990"/>
        <c:crosses val="autoZero"/>
        <c:crossBetween val="midCat"/>
        <c:dispUnits/>
        <c:majorUnit val="10"/>
        <c:minorUnit val="5"/>
      </c:valAx>
      <c:valAx>
        <c:axId val="2346990"/>
        <c:scaling>
          <c:orientation val="minMax"/>
          <c:max val="90"/>
          <c:min val="10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7717317"/>
        <c:crosses val="autoZero"/>
        <c:crossBetween val="midCat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61"/>
          <c:w val="0.87275"/>
          <c:h val="0.93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tiptop1!$AU$78:$AV$78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tiptop1!$AU$77:$AV$77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tiptop1!$AU$79:$AV$79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tiptop1!$AU$80:$AV$80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8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tiptop1!$AW$66:$AX$66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tiptop1!$AW$65:$AX$65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tiptop1!$AU$78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tiptop1!$AU$77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21122911"/>
        <c:axId val="55888472"/>
      </c:scatterChart>
      <c:valAx>
        <c:axId val="21122911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О2, %</a:t>
                </a:r>
              </a:p>
            </c:rich>
          </c:tx>
          <c:layout>
            <c:manualLayout>
              <c:xMode val="factor"/>
              <c:yMode val="factor"/>
              <c:x val="0.025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5888472"/>
        <c:crosses val="autoZero"/>
        <c:crossBetween val="midCat"/>
        <c:dispUnits/>
        <c:majorUnit val="1"/>
        <c:minorUnit val="0.5"/>
      </c:valAx>
      <c:valAx>
        <c:axId val="55888472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CO2, %</a:t>
                </a:r>
              </a:p>
            </c:rich>
          </c:tx>
          <c:layout>
            <c:manualLayout>
              <c:xMode val="factor"/>
              <c:yMode val="factor"/>
              <c:x val="0.024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1122911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6"/>
          <c:w val="0.92375"/>
          <c:h val="0.9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tiptop1!$AU$66:$AV$66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tiptop1!$AU$65:$AV$65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tiptop1!$AU$67:$AV$67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tiptop1!$AU$68:$AV$68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tiptop1!$AW$66:$AX$66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tiptop1!$AW$65:$AX$65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tiptop1!$AU$66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tiptop1!$AU$65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33234201"/>
        <c:axId val="30672354"/>
      </c:scatterChart>
      <c:valAx>
        <c:axId val="33234201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О2, %</a:t>
                </a:r>
              </a:p>
            </c:rich>
          </c:tx>
          <c:layout>
            <c:manualLayout>
              <c:xMode val="factor"/>
              <c:yMode val="factor"/>
              <c:x val="0.023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0672354"/>
        <c:crosses val="autoZero"/>
        <c:crossBetween val="midCat"/>
        <c:dispUnits/>
        <c:majorUnit val="1"/>
        <c:minorUnit val="0.5"/>
      </c:valAx>
      <c:valAx>
        <c:axId val="30672354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CO2, %</a:t>
                </a:r>
              </a:p>
            </c:rich>
          </c:tx>
          <c:layout>
            <c:manualLayout>
              <c:xMode val="factor"/>
              <c:yMode val="factor"/>
              <c:x val="0.024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3234201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925"/>
          <c:w val="0.92"/>
          <c:h val="0.9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tiptop1!$AU$78:$AV$78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tiptop1!$AU$77:$AV$77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tiptop1!$AU$79:$AV$79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tiptop1!$AU$80:$AV$80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8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tiptop1!$AW$66:$AX$66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tiptop1!$AW$65:$AX$65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tiptop1!$AU$78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tiptop1!$AU$77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7615731"/>
        <c:axId val="1432716"/>
      </c:scatterChart>
      <c:valAx>
        <c:axId val="7615731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О</a:t>
                </a:r>
                <a:r>
                  <a:rPr lang="en-US" cap="none" sz="950" b="1" i="0" u="none" baseline="-25000">
                    <a:latin typeface="Arial Cyr"/>
                    <a:ea typeface="Arial Cyr"/>
                    <a:cs typeface="Arial Cyr"/>
                  </a:rPr>
                  <a:t>2</a:t>
                </a: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 , %</a:t>
                </a:r>
              </a:p>
            </c:rich>
          </c:tx>
          <c:layout>
            <c:manualLayout>
              <c:xMode val="factor"/>
              <c:yMode val="factor"/>
              <c:x val="0.041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432716"/>
        <c:crosses val="autoZero"/>
        <c:crossBetween val="midCat"/>
        <c:dispUnits/>
        <c:majorUnit val="1"/>
        <c:minorUnit val="0.5"/>
      </c:valAx>
      <c:valAx>
        <c:axId val="1432716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CO</a:t>
                </a:r>
                <a:r>
                  <a:rPr lang="en-US" cap="none" sz="950" b="1" i="0" u="none" baseline="-25000">
                    <a:latin typeface="Arial Cyr"/>
                    <a:ea typeface="Arial Cyr"/>
                    <a:cs typeface="Arial Cyr"/>
                  </a:rPr>
                  <a:t>2</a:t>
                </a: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 , %</a:t>
                </a:r>
              </a:p>
            </c:rich>
          </c:tx>
          <c:layout>
            <c:manualLayout>
              <c:xMode val="factor"/>
              <c:yMode val="factor"/>
              <c:x val="0.019"/>
              <c:y val="0.16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7615731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1"/>
          <c:w val="0.94225"/>
          <c:h val="0.90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tiptop1!$AU$74:$AV$74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tiptop1!$AU$73:$AV$73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tiptop1!$AU$75:$AV$75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tiptop1!$AU$76:$AV$76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tiptop1!$AW$66:$AX$66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tiptop1!$AW$65:$AX$65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tiptop1!$AU$74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tiptop1!$AU$73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12894445"/>
        <c:axId val="48941142"/>
      </c:scatterChart>
      <c:valAx>
        <c:axId val="12894445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О</a:t>
                </a:r>
                <a:r>
                  <a:rPr lang="en-US" cap="none" sz="950" b="1" i="0" u="none" baseline="-25000">
                    <a:latin typeface="Arial Cyr"/>
                    <a:ea typeface="Arial Cyr"/>
                    <a:cs typeface="Arial Cyr"/>
                  </a:rPr>
                  <a:t>2</a:t>
                </a: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 , %</a:t>
                </a:r>
              </a:p>
            </c:rich>
          </c:tx>
          <c:layout>
            <c:manualLayout>
              <c:xMode val="factor"/>
              <c:yMode val="factor"/>
              <c:x val="0.044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8941142"/>
        <c:crosses val="autoZero"/>
        <c:crossBetween val="midCat"/>
        <c:dispUnits/>
        <c:majorUnit val="1"/>
        <c:minorUnit val="0.5"/>
      </c:valAx>
      <c:valAx>
        <c:axId val="48941142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CO</a:t>
                </a:r>
                <a:r>
                  <a:rPr lang="en-US" cap="none" sz="950" b="1" i="0" u="none" baseline="-25000">
                    <a:latin typeface="Arial Cyr"/>
                    <a:ea typeface="Arial Cyr"/>
                    <a:cs typeface="Arial Cyr"/>
                  </a:rPr>
                  <a:t>2</a:t>
                </a: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 , %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2894445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8675"/>
          <c:w val="0.924"/>
          <c:h val="0.91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trendlineType val="linear"/>
            <c:dispEq val="0"/>
            <c:dispRSqr val="0"/>
          </c:trendline>
          <c:xVal>
            <c:numRef>
              <c:f>tiptop1!$AU$70:$AV$70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tiptop1!$AU$69:$AV$69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tiptop1!$AU$71:$AV$71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tiptop1!$AU$72:$AV$72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8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tiptop1!$AW$66:$AX$66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tiptop1!$AW$65:$AX$65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tiptop1!$AU$70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tiptop1!$AU$69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37817095"/>
        <c:axId val="4809536"/>
      </c:scatterChart>
      <c:valAx>
        <c:axId val="37817095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О</a:t>
                </a:r>
                <a:r>
                  <a:rPr lang="en-US" cap="none" sz="950" b="1" i="0" u="none" baseline="-25000">
                    <a:latin typeface="Arial Cyr"/>
                    <a:ea typeface="Arial Cyr"/>
                    <a:cs typeface="Arial Cyr"/>
                  </a:rPr>
                  <a:t>2</a:t>
                </a: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 , %</a:t>
                </a:r>
              </a:p>
            </c:rich>
          </c:tx>
          <c:layout>
            <c:manualLayout>
              <c:xMode val="factor"/>
              <c:yMode val="factor"/>
              <c:x val="0.041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809536"/>
        <c:crosses val="autoZero"/>
        <c:crossBetween val="midCat"/>
        <c:dispUnits/>
        <c:majorUnit val="1"/>
        <c:minorUnit val="0.5"/>
      </c:valAx>
      <c:valAx>
        <c:axId val="4809536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CO</a:t>
                </a:r>
                <a:r>
                  <a:rPr lang="en-US" cap="none" sz="950" b="1" i="0" u="none" baseline="-25000">
                    <a:latin typeface="Arial Cyr"/>
                    <a:ea typeface="Arial Cyr"/>
                    <a:cs typeface="Arial Cyr"/>
                  </a:rPr>
                  <a:t>2 </a:t>
                </a: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, %</a:t>
                </a:r>
              </a:p>
            </c:rich>
          </c:tx>
          <c:layout>
            <c:manualLayout>
              <c:xMode val="factor"/>
              <c:yMode val="factor"/>
              <c:x val="0.023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7817095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8475"/>
          <c:w val="0.9325"/>
          <c:h val="0.91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trendlineType val="linear"/>
            <c:dispEq val="0"/>
            <c:dispRSqr val="0"/>
          </c:trendline>
          <c:xVal>
            <c:numRef>
              <c:f>tiptop1!$AU$66:$AV$66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tiptop1!$AU$65:$AV$65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tiptop1!$AU$67:$AV$67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tiptop1!$AU$68:$AV$68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tiptop1!$AW$66:$AX$66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tiptop1!$AW$65:$AX$65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tiptop1!$AU$66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tiptop1!$AU$65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43285825"/>
        <c:axId val="54028106"/>
      </c:scatterChart>
      <c:valAx>
        <c:axId val="43285825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О</a:t>
                </a:r>
                <a:r>
                  <a:rPr lang="en-US" cap="none" sz="950" b="1" i="0" u="none" baseline="-25000">
                    <a:latin typeface="Arial Cyr"/>
                    <a:ea typeface="Arial Cyr"/>
                    <a:cs typeface="Arial Cyr"/>
                  </a:rPr>
                  <a:t>2</a:t>
                </a: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 , %</a:t>
                </a:r>
              </a:p>
            </c:rich>
          </c:tx>
          <c:layout>
            <c:manualLayout>
              <c:xMode val="factor"/>
              <c:yMode val="factor"/>
              <c:x val="0.041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4028106"/>
        <c:crosses val="autoZero"/>
        <c:crossBetween val="midCat"/>
        <c:dispUnits/>
        <c:majorUnit val="1"/>
        <c:minorUnit val="0.5"/>
      </c:valAx>
      <c:valAx>
        <c:axId val="54028106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CO</a:t>
                </a:r>
                <a:r>
                  <a:rPr lang="en-US" cap="none" sz="950" b="1" i="0" u="none" baseline="-25000">
                    <a:latin typeface="Arial Cyr"/>
                    <a:ea typeface="Arial Cyr"/>
                    <a:cs typeface="Arial Cyr"/>
                  </a:rPr>
                  <a:t>2</a:t>
                </a: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 , %</a:t>
                </a:r>
              </a:p>
            </c:rich>
          </c:tx>
          <c:layout>
            <c:manualLayout>
              <c:xMode val="factor"/>
              <c:yMode val="factor"/>
              <c:x val="0.023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3285825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8"/>
          <c:w val="0.99125"/>
          <c:h val="0.96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linear"/>
            <c:dispEq val="0"/>
            <c:dispRSqr val="0"/>
          </c:trendline>
          <c:xVal>
            <c:numRef>
              <c:f>tiptop1!$G$68:$J$68</c:f>
              <c:numCache/>
            </c:numRef>
          </c:xVal>
          <c:yVal>
            <c:numRef>
              <c:f>tiptop1!$G$81:$J$81</c:f>
              <c:numCache/>
            </c:numRef>
          </c:yVal>
          <c:smooth val="1"/>
        </c:ser>
        <c:axId val="9119847"/>
        <c:axId val="14969760"/>
      </c:scatterChart>
      <c:valAx>
        <c:axId val="9119847"/>
        <c:scaling>
          <c:orientation val="minMax"/>
          <c:max val="2.6"/>
          <c:min val="0.5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4969760"/>
        <c:crosses val="autoZero"/>
        <c:crossBetween val="midCat"/>
        <c:dispUnits/>
        <c:majorUnit val="0.5"/>
        <c:minorUnit val="0.1"/>
      </c:valAx>
      <c:valAx>
        <c:axId val="14969760"/>
        <c:scaling>
          <c:orientation val="minMax"/>
          <c:max val="9.5"/>
          <c:min val="5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9119847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775"/>
          <c:w val="0.777"/>
          <c:h val="0.9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5"/>
            <c:dispEq val="0"/>
            <c:dispRSqr val="0"/>
          </c:trendline>
          <c:xVal>
            <c:numLit>
              <c:ptCount val="2"/>
              <c:pt idx="0">
                <c:v>7.7</c:v>
              </c:pt>
              <c:pt idx="1">
                <c:v>0</c:v>
              </c:pt>
            </c:numLit>
          </c:xVal>
          <c:yVal>
            <c:numLit>
              <c:ptCount val="2"/>
              <c:pt idx="0">
                <c:v>7.45</c:v>
              </c:pt>
              <c:pt idx="1">
                <c:v>7.45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7.6923</c:v>
              </c:pt>
              <c:pt idx="1">
                <c:v>7.7</c:v>
              </c:pt>
            </c:numLit>
          </c:xVal>
          <c:yVal>
            <c:numLit>
              <c:ptCount val="2"/>
              <c:pt idx="0">
                <c:v>7.45</c:v>
              </c:pt>
              <c:pt idx="1">
                <c:v>0</c:v>
              </c:pt>
            </c:numLit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800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0</c:v>
              </c:pt>
              <c:pt idx="1">
                <c:v>21</c:v>
              </c:pt>
            </c:numLit>
          </c:xVal>
          <c:yVal>
            <c:numLit>
              <c:ptCount val="2"/>
              <c:pt idx="0">
                <c:v>11.8</c:v>
              </c:pt>
              <c:pt idx="1">
                <c:v>0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1"/>
              <c:pt idx="0">
                <c:v>7.7</c:v>
              </c:pt>
            </c:numLit>
          </c:xVal>
          <c:yVal>
            <c:numLit>
              <c:ptCount val="1"/>
              <c:pt idx="0">
                <c:v>7.45</c:v>
              </c:pt>
            </c:numLit>
          </c:yVal>
          <c:smooth val="0"/>
        </c:ser>
        <c:axId val="16490907"/>
        <c:axId val="14200436"/>
      </c:scatterChart>
      <c:valAx>
        <c:axId val="16490907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Cyr"/>
                    <a:ea typeface="Arial Cyr"/>
                    <a:cs typeface="Arial Cyr"/>
                  </a:rPr>
                  <a:t>О2, %</a:t>
                </a:r>
              </a:p>
            </c:rich>
          </c:tx>
          <c:layout>
            <c:manualLayout>
              <c:xMode val="factor"/>
              <c:yMode val="factor"/>
              <c:x val="0.04"/>
              <c:y val="0.13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4200436"/>
        <c:crosses val="autoZero"/>
        <c:crossBetween val="midCat"/>
        <c:dispUnits/>
        <c:majorUnit val="1"/>
        <c:minorUnit val="0.5"/>
      </c:valAx>
      <c:valAx>
        <c:axId val="14200436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Cyr"/>
                    <a:ea typeface="Arial Cyr"/>
                    <a:cs typeface="Arial Cyr"/>
                  </a:rPr>
                  <a:t>CO2, %</a:t>
                </a:r>
              </a:p>
            </c:rich>
          </c:tx>
          <c:layout>
            <c:manualLayout>
              <c:xMode val="factor"/>
              <c:yMode val="factor"/>
              <c:x val="0.024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6490907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7725"/>
          <c:w val="0.80425"/>
          <c:h val="0.92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5"/>
            <c:dispEq val="0"/>
            <c:dispRSqr val="0"/>
          </c:trendline>
          <c:xVal>
            <c:numLit>
              <c:ptCount val="2"/>
              <c:pt idx="0">
                <c:v>6.4</c:v>
              </c:pt>
              <c:pt idx="1">
                <c:v>0</c:v>
              </c:pt>
            </c:numLit>
          </c:xVal>
          <c:yVal>
            <c:numLit>
              <c:ptCount val="2"/>
              <c:pt idx="0">
                <c:v>8.19</c:v>
              </c:pt>
              <c:pt idx="1">
                <c:v>8.19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6.3936</c:v>
              </c:pt>
              <c:pt idx="1">
                <c:v>6.4</c:v>
              </c:pt>
            </c:numLit>
          </c:xVal>
          <c:yVal>
            <c:numLit>
              <c:ptCount val="2"/>
              <c:pt idx="0">
                <c:v>8.19</c:v>
              </c:pt>
              <c:pt idx="1">
                <c:v>0</c:v>
              </c:pt>
            </c:numLit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0</c:v>
              </c:pt>
              <c:pt idx="1">
                <c:v>21</c:v>
              </c:pt>
            </c:numLit>
          </c:xVal>
          <c:yVal>
            <c:numLit>
              <c:ptCount val="2"/>
              <c:pt idx="0">
                <c:v>11.8</c:v>
              </c:pt>
              <c:pt idx="1">
                <c:v>0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1"/>
              <c:pt idx="0">
                <c:v>6.4</c:v>
              </c:pt>
            </c:numLit>
          </c:xVal>
          <c:yVal>
            <c:numLit>
              <c:ptCount val="1"/>
              <c:pt idx="0">
                <c:v>8.19</c:v>
              </c:pt>
            </c:numLit>
          </c:yVal>
          <c:smooth val="0"/>
        </c:ser>
        <c:axId val="60695061"/>
        <c:axId val="9384638"/>
      </c:scatterChart>
      <c:valAx>
        <c:axId val="60695061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 Cyr"/>
                    <a:ea typeface="Arial Cyr"/>
                    <a:cs typeface="Arial Cyr"/>
                  </a:rPr>
                  <a:t>O2, %</a:t>
                </a:r>
              </a:p>
            </c:rich>
          </c:tx>
          <c:layout>
            <c:manualLayout>
              <c:xMode val="factor"/>
              <c:yMode val="factor"/>
              <c:x val="0.0297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9384638"/>
        <c:crosses val="autoZero"/>
        <c:crossBetween val="midCat"/>
        <c:dispUnits/>
        <c:majorUnit val="1"/>
        <c:minorUnit val="0.5"/>
      </c:valAx>
      <c:valAx>
        <c:axId val="9384638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 Cyr"/>
                    <a:ea typeface="Arial Cyr"/>
                    <a:cs typeface="Arial Cyr"/>
                  </a:rPr>
                  <a:t>CO2, %</a:t>
                </a:r>
              </a:p>
            </c:rich>
          </c:tx>
          <c:layout>
            <c:manualLayout>
              <c:xMode val="factor"/>
              <c:yMode val="factor"/>
              <c:x val="0.0202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60695061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trendlineType val="poly"/>
            <c:order val="4"/>
            <c:dispEq val="0"/>
            <c:dispRSqr val="0"/>
          </c:trendline>
          <c:xVal>
            <c:numLit>
              <c:ptCount val="2"/>
              <c:pt idx="0">
                <c:v>5.5</c:v>
              </c:pt>
              <c:pt idx="1">
                <c:v>0</c:v>
              </c:pt>
            </c:numLit>
          </c:xVal>
          <c:yVal>
            <c:numLit>
              <c:ptCount val="2"/>
              <c:pt idx="0">
                <c:v>8.69</c:v>
              </c:pt>
              <c:pt idx="1">
                <c:v>8.69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trendlineType val="linear"/>
            <c:dispEq val="0"/>
            <c:dispRSqr val="0"/>
          </c:trendline>
          <c:xVal>
            <c:numLit>
              <c:ptCount val="2"/>
              <c:pt idx="0">
                <c:v>5.4945</c:v>
              </c:pt>
              <c:pt idx="1">
                <c:v>5.5</c:v>
              </c:pt>
            </c:numLit>
          </c:xVal>
          <c:yVal>
            <c:numLit>
              <c:ptCount val="2"/>
              <c:pt idx="0">
                <c:v>8.69</c:v>
              </c:pt>
              <c:pt idx="1">
                <c:v>0</c:v>
              </c:pt>
            </c:numLit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8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0</c:v>
              </c:pt>
              <c:pt idx="1">
                <c:v>21</c:v>
              </c:pt>
            </c:numLit>
          </c:xVal>
          <c:yVal>
            <c:numLit>
              <c:ptCount val="2"/>
              <c:pt idx="0">
                <c:v>11.8</c:v>
              </c:pt>
              <c:pt idx="1">
                <c:v>0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1"/>
              <c:pt idx="0">
                <c:v>5.5</c:v>
              </c:pt>
            </c:numLit>
          </c:xVal>
          <c:yVal>
            <c:numLit>
              <c:ptCount val="1"/>
              <c:pt idx="0">
                <c:v>8.69</c:v>
              </c:pt>
            </c:numLit>
          </c:yVal>
          <c:smooth val="0"/>
        </c:ser>
        <c:axId val="17352879"/>
        <c:axId val="21958184"/>
      </c:scatterChart>
      <c:valAx>
        <c:axId val="17352879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Cyr"/>
                    <a:ea typeface="Arial Cyr"/>
                    <a:cs typeface="Arial Cyr"/>
                  </a:rPr>
                  <a:t>   
O2,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1958184"/>
        <c:crosses val="autoZero"/>
        <c:crossBetween val="midCat"/>
        <c:dispUnits/>
        <c:majorUnit val="1"/>
        <c:minorUnit val="0.5"/>
      </c:valAx>
      <c:valAx>
        <c:axId val="21958184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Cyr"/>
                    <a:ea typeface="Arial Cyr"/>
                    <a:cs typeface="Arial Cyr"/>
                  </a:rPr>
                  <a:t>CO2,%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7352879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"/>
          <c:w val="0.9715"/>
          <c:h val="0.91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poly"/>
            <c:order val="2"/>
            <c:dispEq val="0"/>
            <c:dispRSqr val="0"/>
          </c:trendline>
          <c:xVal>
            <c:numRef>
              <c:f>tiptop2!$G$68:$J$68</c:f>
              <c:numCache/>
            </c:numRef>
          </c:xVal>
          <c:yVal>
            <c:numRef>
              <c:f>tiptop2!$G$85:$J$85</c:f>
              <c:numCache/>
            </c:numRef>
          </c:yVal>
          <c:smooth val="0"/>
        </c:ser>
        <c:axId val="63405929"/>
        <c:axId val="33782450"/>
      </c:scatterChart>
      <c:valAx>
        <c:axId val="63405929"/>
        <c:scaling>
          <c:orientation val="minMax"/>
          <c:max val="2.6"/>
          <c:min val="0.5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3782450"/>
        <c:crosses val="autoZero"/>
        <c:crossBetween val="midCat"/>
        <c:dispUnits/>
        <c:majorUnit val="0.5"/>
        <c:minorUnit val="0.1"/>
      </c:valAx>
      <c:valAx>
        <c:axId val="33782450"/>
        <c:scaling>
          <c:orientation val="minMax"/>
          <c:max val="94"/>
          <c:min val="90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63405929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16"/>
          <c:w val="0.978"/>
          <c:h val="0.96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linear"/>
            <c:dispEq val="0"/>
            <c:dispRSqr val="0"/>
          </c:trendline>
          <c:xVal>
            <c:numRef>
              <c:f>tiptop2!$G$68:$J$68</c:f>
              <c:numCache/>
            </c:numRef>
          </c:xVal>
          <c:yVal>
            <c:numRef>
              <c:f>tiptop2!$G$81:$J$81</c:f>
              <c:numCache/>
            </c:numRef>
          </c:yVal>
          <c:smooth val="1"/>
        </c:ser>
        <c:axId val="35606595"/>
        <c:axId val="52023900"/>
      </c:scatterChart>
      <c:valAx>
        <c:axId val="35606595"/>
        <c:scaling>
          <c:orientation val="minMax"/>
          <c:max val="2.6"/>
          <c:min val="0.5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2023900"/>
        <c:crosses val="autoZero"/>
        <c:crossBetween val="midCat"/>
        <c:dispUnits/>
        <c:majorUnit val="0.5"/>
        <c:minorUnit val="0.1"/>
      </c:valAx>
      <c:valAx>
        <c:axId val="52023900"/>
        <c:scaling>
          <c:orientation val="minMax"/>
          <c:max val="9.5"/>
          <c:min val="5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5606595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25"/>
          <c:w val="0.979"/>
          <c:h val="0.95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linear"/>
            <c:dispEq val="0"/>
            <c:dispRSqr val="0"/>
          </c:trendline>
          <c:xVal>
            <c:numRef>
              <c:f>tiptop2!$G$68:$J$68</c:f>
              <c:numCache/>
            </c:numRef>
          </c:xVal>
          <c:yVal>
            <c:numRef>
              <c:f>tiptop2!$G$69:$J$69</c:f>
              <c:numCache/>
            </c:numRef>
          </c:yVal>
          <c:smooth val="0"/>
        </c:ser>
        <c:axId val="65561917"/>
        <c:axId val="53186342"/>
      </c:scatterChart>
      <c:valAx>
        <c:axId val="65561917"/>
        <c:scaling>
          <c:orientation val="minMax"/>
          <c:max val="2.6"/>
          <c:min val="0.5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3186342"/>
        <c:crosses val="autoZero"/>
        <c:crossBetween val="midCat"/>
        <c:dispUnits/>
        <c:majorUnit val="0.5"/>
        <c:minorUnit val="0.1"/>
      </c:valAx>
      <c:valAx>
        <c:axId val="53186342"/>
        <c:scaling>
          <c:orientation val="minMax"/>
          <c:max val="350"/>
          <c:min val="50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65561917"/>
        <c:crossesAt val="0"/>
        <c:crossBetween val="midCat"/>
        <c:dispUnits/>
        <c:majorUnit val="5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3275"/>
          <c:w val="0.97425"/>
          <c:h val="0.93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poly"/>
            <c:order val="2"/>
            <c:dispEq val="0"/>
            <c:dispRSqr val="0"/>
          </c:trendline>
          <c:xVal>
            <c:numRef>
              <c:f>tiptop2!$G$68:$J$68</c:f>
              <c:numCache/>
            </c:numRef>
          </c:xVal>
          <c:yVal>
            <c:numRef>
              <c:f>tiptop2!$G$70:$J$70</c:f>
              <c:numCache/>
            </c:numRef>
          </c:yVal>
          <c:smooth val="0"/>
        </c:ser>
        <c:axId val="8915031"/>
        <c:axId val="13126416"/>
      </c:scatterChart>
      <c:valAx>
        <c:axId val="8915031"/>
        <c:scaling>
          <c:orientation val="minMax"/>
          <c:max val="1.8"/>
          <c:min val="0.3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3126416"/>
        <c:crosses val="autoZero"/>
        <c:crossBetween val="midCat"/>
        <c:dispUnits/>
        <c:majorUnit val="0.1"/>
        <c:minorUnit val="0.1"/>
      </c:valAx>
      <c:valAx>
        <c:axId val="13126416"/>
        <c:scaling>
          <c:orientation val="minMax"/>
          <c:max val="80"/>
          <c:min val="0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8915031"/>
        <c:crossesAt val="0"/>
        <c:crossBetween val="midCat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1725"/>
          <c:w val="0.97925"/>
          <c:h val="0.96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poly"/>
            <c:order val="2"/>
            <c:dispEq val="0"/>
            <c:dispRSqr val="0"/>
          </c:trendline>
          <c:xVal>
            <c:numRef>
              <c:f>tiptop2!$G$68:$J$68</c:f>
              <c:numCache/>
            </c:numRef>
          </c:xVal>
          <c:yVal>
            <c:numRef>
              <c:f>tiptop2!$G$71:$J$71</c:f>
              <c:numCache/>
            </c:numRef>
          </c:yVal>
          <c:smooth val="0"/>
        </c:ser>
        <c:axId val="51028881"/>
        <c:axId val="56606746"/>
      </c:scatterChart>
      <c:valAx>
        <c:axId val="51028881"/>
        <c:scaling>
          <c:orientation val="minMax"/>
          <c:max val="1.8"/>
          <c:min val="0.3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6606746"/>
        <c:crosses val="autoZero"/>
        <c:crossBetween val="midCat"/>
        <c:dispUnits/>
        <c:majorUnit val="0.1"/>
        <c:minorUnit val="0.1"/>
      </c:valAx>
      <c:valAx>
        <c:axId val="56606746"/>
        <c:scaling>
          <c:orientation val="minMax"/>
          <c:max val="90"/>
          <c:min val="10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1028881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26"/>
          <c:w val="0.9785"/>
          <c:h val="0.95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power"/>
            <c:dispEq val="0"/>
            <c:dispRSqr val="0"/>
          </c:trendline>
          <c:xVal>
            <c:numRef>
              <c:f>tiptop2!$G$68:$J$68</c:f>
              <c:numCache/>
            </c:numRef>
          </c:xVal>
          <c:yVal>
            <c:numRef>
              <c:f>tiptop2!$G$72:$J$72</c:f>
              <c:numCache/>
            </c:numRef>
          </c:yVal>
          <c:smooth val="0"/>
        </c:ser>
        <c:axId val="39698667"/>
        <c:axId val="21743684"/>
      </c:scatterChart>
      <c:valAx>
        <c:axId val="39698667"/>
        <c:scaling>
          <c:orientation val="minMax"/>
          <c:max val="1.8"/>
          <c:min val="0.3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1743684"/>
        <c:crosses val="autoZero"/>
        <c:crossBetween val="midCat"/>
        <c:dispUnits/>
        <c:majorUnit val="0.1"/>
        <c:minorUnit val="0.1"/>
      </c:valAx>
      <c:valAx>
        <c:axId val="21743684"/>
        <c:scaling>
          <c:orientation val="minMax"/>
          <c:max val="5"/>
          <c:min val="0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9698667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325"/>
          <c:w val="0.98375"/>
          <c:h val="0.9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poly"/>
            <c:order val="2"/>
            <c:dispEq val="0"/>
            <c:dispRSqr val="0"/>
          </c:trendline>
          <c:xVal>
            <c:numRef>
              <c:f>tiptop2!$G$68:$J$68</c:f>
              <c:numCache/>
            </c:numRef>
          </c:xVal>
          <c:yVal>
            <c:numRef>
              <c:f>tiptop2!$G$79:$J$79</c:f>
              <c:numCache/>
            </c:numRef>
          </c:yVal>
          <c:smooth val="0"/>
        </c:ser>
        <c:axId val="61475429"/>
        <c:axId val="16407950"/>
      </c:scatterChart>
      <c:valAx>
        <c:axId val="61475429"/>
        <c:scaling>
          <c:orientation val="minMax"/>
          <c:max val="2.6"/>
          <c:min val="0.5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6407950"/>
        <c:crosses val="autoZero"/>
        <c:crossBetween val="midCat"/>
        <c:dispUnits/>
        <c:majorUnit val="0.5"/>
        <c:minorUnit val="0.1"/>
      </c:valAx>
      <c:valAx>
        <c:axId val="16407950"/>
        <c:scaling>
          <c:orientation val="minMax"/>
          <c:max val="10"/>
          <c:min val="9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61475429"/>
        <c:crosses val="autoZero"/>
        <c:crossBetween val="midCat"/>
        <c:dispUnits/>
        <c:majorUnit val="0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325"/>
          <c:w val="0.99125"/>
          <c:h val="0.95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linear"/>
            <c:dispEq val="0"/>
            <c:dispRSqr val="0"/>
          </c:trendline>
          <c:xVal>
            <c:numRef>
              <c:f>tiptop1!$G$68:$J$68</c:f>
              <c:numCache/>
            </c:numRef>
          </c:xVal>
          <c:yVal>
            <c:numRef>
              <c:f>tiptop1!$G$69:$J$69</c:f>
              <c:numCache/>
            </c:numRef>
          </c:yVal>
          <c:smooth val="0"/>
        </c:ser>
        <c:axId val="510113"/>
        <c:axId val="4591018"/>
      </c:scatterChart>
      <c:valAx>
        <c:axId val="510113"/>
        <c:scaling>
          <c:orientation val="minMax"/>
          <c:max val="2.6"/>
          <c:min val="0.5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591018"/>
        <c:crossesAt val="0"/>
        <c:crossBetween val="midCat"/>
        <c:dispUnits/>
        <c:majorUnit val="0.5"/>
        <c:minorUnit val="0.1"/>
      </c:valAx>
      <c:valAx>
        <c:axId val="4591018"/>
        <c:scaling>
          <c:orientation val="minMax"/>
          <c:max val="350"/>
          <c:min val="50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10113"/>
        <c:crossesAt val="0"/>
        <c:crossBetween val="midCat"/>
        <c:dispUnits/>
        <c:majorUnit val="5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1"/>
          <c:w val="0.99325"/>
          <c:h val="0.97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poly"/>
            <c:order val="2"/>
            <c:dispEq val="0"/>
            <c:dispRSqr val="0"/>
          </c:trendline>
          <c:xVal>
            <c:numRef>
              <c:f>tiptop2!$G$68:$J$68</c:f>
              <c:numCache/>
            </c:numRef>
          </c:xVal>
          <c:yVal>
            <c:numRef>
              <c:f>tiptop2!$G$80:$J$80</c:f>
              <c:numCache/>
            </c:numRef>
          </c:yVal>
          <c:smooth val="0"/>
        </c:ser>
        <c:axId val="13453823"/>
        <c:axId val="53975544"/>
      </c:scatterChart>
      <c:valAx>
        <c:axId val="13453823"/>
        <c:scaling>
          <c:orientation val="minMax"/>
          <c:max val="2.6"/>
          <c:min val="0.5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3975544"/>
        <c:crosses val="autoZero"/>
        <c:crossBetween val="midCat"/>
        <c:dispUnits/>
        <c:majorUnit val="0.5"/>
        <c:minorUnit val="0.1"/>
      </c:valAx>
      <c:valAx>
        <c:axId val="53975544"/>
        <c:scaling>
          <c:orientation val="minMax"/>
          <c:max val="1.3"/>
          <c:min val="1.15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3453823"/>
        <c:crossesAt val="0"/>
        <c:crossBetween val="midCat"/>
        <c:dispUnits/>
        <c:majorUnit val="0.05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poly"/>
            <c:order val="2"/>
            <c:dispEq val="0"/>
            <c:dispRSqr val="0"/>
          </c:trendline>
          <c:xVal>
            <c:numRef>
              <c:f>tiptop2!$G$68:$J$68</c:f>
              <c:numCache/>
            </c:numRef>
          </c:xVal>
          <c:yVal>
            <c:numRef>
              <c:f>tiptop2!$G$75:$J$75</c:f>
              <c:numCache/>
            </c:numRef>
          </c:yVal>
          <c:smooth val="0"/>
        </c:ser>
        <c:axId val="16017849"/>
        <c:axId val="9942914"/>
      </c:scatterChart>
      <c:valAx>
        <c:axId val="16017849"/>
        <c:scaling>
          <c:orientation val="minMax"/>
          <c:max val="2.6"/>
          <c:min val="0.5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9942914"/>
        <c:crosses val="autoZero"/>
        <c:crossBetween val="midCat"/>
        <c:dispUnits/>
        <c:majorUnit val="0.5"/>
        <c:minorUnit val="0.1"/>
      </c:valAx>
      <c:valAx>
        <c:axId val="9942914"/>
        <c:scaling>
          <c:orientation val="minMax"/>
          <c:max val="210"/>
          <c:min val="110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6017849"/>
        <c:crossesAt val="0"/>
        <c:crossBetween val="midCat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775"/>
          <c:w val="0.777"/>
          <c:h val="0.9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5"/>
            <c:dispEq val="0"/>
            <c:dispRSqr val="0"/>
          </c:trendline>
          <c:xVal>
            <c:numLit>
              <c:ptCount val="2"/>
              <c:pt idx="0">
                <c:v>7.7</c:v>
              </c:pt>
              <c:pt idx="1">
                <c:v>0</c:v>
              </c:pt>
            </c:numLit>
          </c:xVal>
          <c:yVal>
            <c:numLit>
              <c:ptCount val="2"/>
              <c:pt idx="0">
                <c:v>7.45</c:v>
              </c:pt>
              <c:pt idx="1">
                <c:v>7.45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7.6923</c:v>
              </c:pt>
              <c:pt idx="1">
                <c:v>7.7</c:v>
              </c:pt>
            </c:numLit>
          </c:xVal>
          <c:yVal>
            <c:numLit>
              <c:ptCount val="2"/>
              <c:pt idx="0">
                <c:v>7.45</c:v>
              </c:pt>
              <c:pt idx="1">
                <c:v>0</c:v>
              </c:pt>
            </c:numLit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800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0</c:v>
              </c:pt>
              <c:pt idx="1">
                <c:v>21</c:v>
              </c:pt>
            </c:numLit>
          </c:xVal>
          <c:yVal>
            <c:numLit>
              <c:ptCount val="2"/>
              <c:pt idx="0">
                <c:v>11.8</c:v>
              </c:pt>
              <c:pt idx="1">
                <c:v>0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1"/>
              <c:pt idx="0">
                <c:v>7.7</c:v>
              </c:pt>
            </c:numLit>
          </c:xVal>
          <c:yVal>
            <c:numLit>
              <c:ptCount val="1"/>
              <c:pt idx="0">
                <c:v>7.45</c:v>
              </c:pt>
            </c:numLit>
          </c:yVal>
          <c:smooth val="0"/>
        </c:ser>
        <c:axId val="22377363"/>
        <c:axId val="69676"/>
      </c:scatterChart>
      <c:valAx>
        <c:axId val="22377363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Cyr"/>
                    <a:ea typeface="Arial Cyr"/>
                    <a:cs typeface="Arial Cyr"/>
                  </a:rPr>
                  <a:t>О2, %</a:t>
                </a:r>
              </a:p>
            </c:rich>
          </c:tx>
          <c:layout>
            <c:manualLayout>
              <c:xMode val="factor"/>
              <c:yMode val="factor"/>
              <c:x val="0.04"/>
              <c:y val="0.13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69676"/>
        <c:crosses val="autoZero"/>
        <c:crossBetween val="midCat"/>
        <c:dispUnits/>
        <c:majorUnit val="1"/>
        <c:minorUnit val="0.5"/>
      </c:valAx>
      <c:valAx>
        <c:axId val="69676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Cyr"/>
                    <a:ea typeface="Arial Cyr"/>
                    <a:cs typeface="Arial Cyr"/>
                  </a:rPr>
                  <a:t>CO2, %</a:t>
                </a:r>
              </a:p>
            </c:rich>
          </c:tx>
          <c:layout>
            <c:manualLayout>
              <c:xMode val="factor"/>
              <c:yMode val="factor"/>
              <c:x val="0.024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2377363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765"/>
          <c:w val="0.80425"/>
          <c:h val="0.92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5"/>
            <c:dispEq val="0"/>
            <c:dispRSqr val="0"/>
          </c:trendline>
          <c:xVal>
            <c:numLit>
              <c:ptCount val="2"/>
              <c:pt idx="0">
                <c:v>6.4</c:v>
              </c:pt>
              <c:pt idx="1">
                <c:v>0</c:v>
              </c:pt>
            </c:numLit>
          </c:xVal>
          <c:yVal>
            <c:numLit>
              <c:ptCount val="2"/>
              <c:pt idx="0">
                <c:v>8.19</c:v>
              </c:pt>
              <c:pt idx="1">
                <c:v>8.19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6.3936</c:v>
              </c:pt>
              <c:pt idx="1">
                <c:v>6.4</c:v>
              </c:pt>
            </c:numLit>
          </c:xVal>
          <c:yVal>
            <c:numLit>
              <c:ptCount val="2"/>
              <c:pt idx="0">
                <c:v>8.19</c:v>
              </c:pt>
              <c:pt idx="1">
                <c:v>0</c:v>
              </c:pt>
            </c:numLit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0</c:v>
              </c:pt>
              <c:pt idx="1">
                <c:v>21</c:v>
              </c:pt>
            </c:numLit>
          </c:xVal>
          <c:yVal>
            <c:numLit>
              <c:ptCount val="2"/>
              <c:pt idx="0">
                <c:v>11.8</c:v>
              </c:pt>
              <c:pt idx="1">
                <c:v>0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1"/>
              <c:pt idx="0">
                <c:v>6.4</c:v>
              </c:pt>
            </c:numLit>
          </c:xVal>
          <c:yVal>
            <c:numLit>
              <c:ptCount val="1"/>
              <c:pt idx="0">
                <c:v>8.19</c:v>
              </c:pt>
            </c:numLit>
          </c:yVal>
          <c:smooth val="0"/>
        </c:ser>
        <c:axId val="627085"/>
        <c:axId val="5643766"/>
      </c:scatterChart>
      <c:valAx>
        <c:axId val="627085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 Cyr"/>
                    <a:ea typeface="Arial Cyr"/>
                    <a:cs typeface="Arial Cyr"/>
                  </a:rPr>
                  <a:t>O2, %</a:t>
                </a:r>
              </a:p>
            </c:rich>
          </c:tx>
          <c:layout>
            <c:manualLayout>
              <c:xMode val="factor"/>
              <c:yMode val="factor"/>
              <c:x val="0.0297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643766"/>
        <c:crosses val="autoZero"/>
        <c:crossBetween val="midCat"/>
        <c:dispUnits/>
        <c:majorUnit val="1"/>
        <c:minorUnit val="0.5"/>
      </c:valAx>
      <c:valAx>
        <c:axId val="5643766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 Cyr"/>
                    <a:ea typeface="Arial Cyr"/>
                    <a:cs typeface="Arial Cyr"/>
                  </a:rPr>
                  <a:t>CO2, %</a:t>
                </a:r>
              </a:p>
            </c:rich>
          </c:tx>
          <c:layout>
            <c:manualLayout>
              <c:xMode val="factor"/>
              <c:yMode val="factor"/>
              <c:x val="0.0202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627085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trendlineType val="poly"/>
            <c:order val="4"/>
            <c:dispEq val="0"/>
            <c:dispRSqr val="0"/>
          </c:trendline>
          <c:xVal>
            <c:numLit>
              <c:ptCount val="2"/>
              <c:pt idx="0">
                <c:v>5.5</c:v>
              </c:pt>
              <c:pt idx="1">
                <c:v>0</c:v>
              </c:pt>
            </c:numLit>
          </c:xVal>
          <c:yVal>
            <c:numLit>
              <c:ptCount val="2"/>
              <c:pt idx="0">
                <c:v>8.69</c:v>
              </c:pt>
              <c:pt idx="1">
                <c:v>8.69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trendlineType val="linear"/>
            <c:dispEq val="0"/>
            <c:dispRSqr val="0"/>
          </c:trendline>
          <c:xVal>
            <c:numLit>
              <c:ptCount val="2"/>
              <c:pt idx="0">
                <c:v>5.4945</c:v>
              </c:pt>
              <c:pt idx="1">
                <c:v>5.5</c:v>
              </c:pt>
            </c:numLit>
          </c:xVal>
          <c:yVal>
            <c:numLit>
              <c:ptCount val="2"/>
              <c:pt idx="0">
                <c:v>8.69</c:v>
              </c:pt>
              <c:pt idx="1">
                <c:v>0</c:v>
              </c:pt>
            </c:numLit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8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0</c:v>
              </c:pt>
              <c:pt idx="1">
                <c:v>21</c:v>
              </c:pt>
            </c:numLit>
          </c:xVal>
          <c:yVal>
            <c:numLit>
              <c:ptCount val="2"/>
              <c:pt idx="0">
                <c:v>11.8</c:v>
              </c:pt>
              <c:pt idx="1">
                <c:v>0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1"/>
              <c:pt idx="0">
                <c:v>5.5</c:v>
              </c:pt>
            </c:numLit>
          </c:xVal>
          <c:yVal>
            <c:numLit>
              <c:ptCount val="1"/>
              <c:pt idx="0">
                <c:v>8.69</c:v>
              </c:pt>
            </c:numLit>
          </c:yVal>
          <c:smooth val="0"/>
        </c:ser>
        <c:axId val="50793895"/>
        <c:axId val="54491872"/>
      </c:scatterChart>
      <c:valAx>
        <c:axId val="50793895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Cyr"/>
                    <a:ea typeface="Arial Cyr"/>
                    <a:cs typeface="Arial Cyr"/>
                  </a:rPr>
                  <a:t>   
O2,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4491872"/>
        <c:crosses val="autoZero"/>
        <c:crossBetween val="midCat"/>
        <c:dispUnits/>
        <c:majorUnit val="1"/>
        <c:minorUnit val="0.5"/>
      </c:valAx>
      <c:valAx>
        <c:axId val="54491872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Cyr"/>
                    <a:ea typeface="Arial Cyr"/>
                    <a:cs typeface="Arial Cyr"/>
                  </a:rPr>
                  <a:t>CO2,%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0793895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tiptop2!$G$70:$J$70</c:f>
              <c:numCache>
                <c:ptCount val="4"/>
                <c:pt idx="0">
                  <c:v>7.8</c:v>
                </c:pt>
                <c:pt idx="1">
                  <c:v>7.7</c:v>
                </c:pt>
                <c:pt idx="2">
                  <c:v>7.6</c:v>
                </c:pt>
                <c:pt idx="3">
                  <c:v>7.5</c:v>
                </c:pt>
              </c:numCache>
            </c:numRef>
          </c:xVal>
          <c:yVal>
            <c:numRef>
              <c:f>tiptop2!$G$71:$J$71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20664801"/>
        <c:axId val="51765482"/>
      </c:scatterChart>
      <c:valAx>
        <c:axId val="20664801"/>
        <c:scaling>
          <c:orientation val="minMax"/>
          <c:max val="80"/>
          <c:min val="0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1765482"/>
        <c:crosses val="autoZero"/>
        <c:crossBetween val="midCat"/>
        <c:dispUnits/>
        <c:majorUnit val="10"/>
        <c:minorUnit val="5"/>
      </c:valAx>
      <c:valAx>
        <c:axId val="51765482"/>
        <c:scaling>
          <c:orientation val="minMax"/>
          <c:max val="90"/>
          <c:min val="10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0664801"/>
        <c:crosses val="autoZero"/>
        <c:crossBetween val="midCat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6"/>
          <c:w val="0.87275"/>
          <c:h val="0.9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tiptop2!$AU$78:$AV$78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tiptop2!$AU$77:$AV$77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tiptop2!$AU$79:$AV$79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tiptop2!$AU$80:$AV$80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8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tiptop2!$AW$66:$AX$66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tiptop2!$AW$65:$AX$65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tiptop2!$AU$78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tiptop2!$AU$77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63236155"/>
        <c:axId val="32254484"/>
      </c:scatterChart>
      <c:valAx>
        <c:axId val="63236155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О2, %</a:t>
                </a:r>
              </a:p>
            </c:rich>
          </c:tx>
          <c:layout>
            <c:manualLayout>
              <c:xMode val="factor"/>
              <c:yMode val="factor"/>
              <c:x val="0.025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2254484"/>
        <c:crosses val="autoZero"/>
        <c:crossBetween val="midCat"/>
        <c:dispUnits/>
        <c:majorUnit val="1"/>
        <c:minorUnit val="0.5"/>
      </c:valAx>
      <c:valAx>
        <c:axId val="32254484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CO2, %</a:t>
                </a:r>
              </a:p>
            </c:rich>
          </c:tx>
          <c:layout>
            <c:manualLayout>
              <c:xMode val="factor"/>
              <c:yMode val="factor"/>
              <c:x val="0.024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63236155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5925"/>
          <c:w val="0.92375"/>
          <c:h val="0.94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tiptop2!$AU$66:$AV$66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tiptop2!$AU$65:$AV$65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tiptop2!$AU$67:$AV$67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tiptop2!$AU$68:$AV$68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tiptop2!$AW$66:$AX$66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tiptop2!$AW$65:$AX$65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tiptop2!$AU$66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tiptop2!$AU$65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21854901"/>
        <c:axId val="62476382"/>
      </c:scatterChart>
      <c:valAx>
        <c:axId val="21854901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О2, %</a:t>
                </a:r>
              </a:p>
            </c:rich>
          </c:tx>
          <c:layout>
            <c:manualLayout>
              <c:xMode val="factor"/>
              <c:yMode val="factor"/>
              <c:x val="0.023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62476382"/>
        <c:crosses val="autoZero"/>
        <c:crossBetween val="midCat"/>
        <c:dispUnits/>
        <c:majorUnit val="1"/>
        <c:minorUnit val="0.5"/>
      </c:valAx>
      <c:valAx>
        <c:axId val="62476382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CO2, %</a:t>
                </a:r>
              </a:p>
            </c:rich>
          </c:tx>
          <c:layout>
            <c:manualLayout>
              <c:xMode val="factor"/>
              <c:yMode val="factor"/>
              <c:x val="0.024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1854901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93"/>
          <c:w val="0.92"/>
          <c:h val="0.90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tiptop2!$AU$78:$AV$78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tiptop2!$AU$77:$AV$77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tiptop2!$AU$79:$AV$79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tiptop2!$AU$80:$AV$80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8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tiptop2!$AW$66:$AX$66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tiptop2!$AW$65:$AX$65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tiptop2!$AU$78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tiptop2!$AU$77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25416527"/>
        <c:axId val="27422152"/>
      </c:scatterChart>
      <c:valAx>
        <c:axId val="25416527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О</a:t>
                </a:r>
                <a:r>
                  <a:rPr lang="en-US" cap="none" sz="950" b="1" i="0" u="none" baseline="-25000">
                    <a:latin typeface="Arial Cyr"/>
                    <a:ea typeface="Arial Cyr"/>
                    <a:cs typeface="Arial Cyr"/>
                  </a:rPr>
                  <a:t>2</a:t>
                </a: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 , %</a:t>
                </a:r>
              </a:p>
            </c:rich>
          </c:tx>
          <c:layout>
            <c:manualLayout>
              <c:xMode val="factor"/>
              <c:yMode val="factor"/>
              <c:x val="0.041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7422152"/>
        <c:crosses val="autoZero"/>
        <c:crossBetween val="midCat"/>
        <c:dispUnits/>
        <c:majorUnit val="1"/>
        <c:minorUnit val="0.5"/>
      </c:valAx>
      <c:valAx>
        <c:axId val="27422152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CO</a:t>
                </a:r>
                <a:r>
                  <a:rPr lang="en-US" cap="none" sz="950" b="1" i="0" u="none" baseline="-25000">
                    <a:latin typeface="Arial Cyr"/>
                    <a:ea typeface="Arial Cyr"/>
                    <a:cs typeface="Arial Cyr"/>
                  </a:rPr>
                  <a:t>2</a:t>
                </a: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 , %</a:t>
                </a:r>
              </a:p>
            </c:rich>
          </c:tx>
          <c:layout>
            <c:manualLayout>
              <c:xMode val="factor"/>
              <c:yMode val="factor"/>
              <c:x val="0.019"/>
              <c:y val="0.16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5416527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1"/>
          <c:w val="0.94225"/>
          <c:h val="0.90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tiptop2!$AU$74:$AV$74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tiptop2!$AU$73:$AV$73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tiptop2!$AU$75:$AV$75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tiptop2!$AU$76:$AV$76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tiptop2!$AW$66:$AX$66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tiptop2!$AW$65:$AX$65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tiptop2!$AU$74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tiptop2!$AU$73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45472777"/>
        <c:axId val="6601810"/>
      </c:scatterChart>
      <c:valAx>
        <c:axId val="45472777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О</a:t>
                </a:r>
                <a:r>
                  <a:rPr lang="en-US" cap="none" sz="950" b="1" i="0" u="none" baseline="-25000">
                    <a:latin typeface="Arial Cyr"/>
                    <a:ea typeface="Arial Cyr"/>
                    <a:cs typeface="Arial Cyr"/>
                  </a:rPr>
                  <a:t>2</a:t>
                </a: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 , %</a:t>
                </a:r>
              </a:p>
            </c:rich>
          </c:tx>
          <c:layout>
            <c:manualLayout>
              <c:xMode val="factor"/>
              <c:yMode val="factor"/>
              <c:x val="0.044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6601810"/>
        <c:crosses val="autoZero"/>
        <c:crossBetween val="midCat"/>
        <c:dispUnits/>
        <c:majorUnit val="1"/>
        <c:minorUnit val="0.5"/>
      </c:valAx>
      <c:valAx>
        <c:axId val="6601810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CO</a:t>
                </a:r>
                <a:r>
                  <a:rPr lang="en-US" cap="none" sz="950" b="1" i="0" u="none" baseline="-25000">
                    <a:latin typeface="Arial Cyr"/>
                    <a:ea typeface="Arial Cyr"/>
                    <a:cs typeface="Arial Cyr"/>
                  </a:rPr>
                  <a:t>2</a:t>
                </a: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 , %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5472777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3275"/>
          <c:w val="0.97425"/>
          <c:h val="0.93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poly"/>
            <c:order val="2"/>
            <c:dispEq val="0"/>
            <c:dispRSqr val="0"/>
          </c:trendline>
          <c:xVal>
            <c:numRef>
              <c:f>tiptop1!$G$68:$J$68</c:f>
              <c:numCache/>
            </c:numRef>
          </c:xVal>
          <c:yVal>
            <c:numRef>
              <c:f>tiptop1!$G$70:$J$70</c:f>
              <c:numCache/>
            </c:numRef>
          </c:yVal>
          <c:smooth val="0"/>
        </c:ser>
        <c:axId val="41319163"/>
        <c:axId val="36328148"/>
      </c:scatterChart>
      <c:valAx>
        <c:axId val="41319163"/>
        <c:scaling>
          <c:orientation val="minMax"/>
          <c:max val="2.6"/>
          <c:min val="0.5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6328148"/>
        <c:crosses val="autoZero"/>
        <c:crossBetween val="midCat"/>
        <c:dispUnits/>
        <c:majorUnit val="0.5"/>
        <c:minorUnit val="0.1"/>
      </c:valAx>
      <c:valAx>
        <c:axId val="36328148"/>
        <c:scaling>
          <c:orientation val="minMax"/>
          <c:max val="80"/>
          <c:min val="0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1319163"/>
        <c:crossesAt val="0"/>
        <c:crossBetween val="midCat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8675"/>
          <c:w val="0.924"/>
          <c:h val="0.91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trendlineType val="linear"/>
            <c:dispEq val="0"/>
            <c:dispRSqr val="0"/>
          </c:trendline>
          <c:xVal>
            <c:numRef>
              <c:f>tiptop2!$AU$70:$AV$70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tiptop2!$AU$69:$AV$69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tiptop2!$AU$71:$AV$71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tiptop2!$AU$72:$AV$72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8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tiptop2!$AW$66:$AX$66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tiptop2!$AW$65:$AX$65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tiptop2!$AU$70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tiptop2!$AU$69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59416291"/>
        <c:axId val="64984572"/>
      </c:scatterChart>
      <c:valAx>
        <c:axId val="59416291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О</a:t>
                </a:r>
                <a:r>
                  <a:rPr lang="en-US" cap="none" sz="950" b="1" i="0" u="none" baseline="-25000">
                    <a:latin typeface="Arial Cyr"/>
                    <a:ea typeface="Arial Cyr"/>
                    <a:cs typeface="Arial Cyr"/>
                  </a:rPr>
                  <a:t>2</a:t>
                </a: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 , %</a:t>
                </a:r>
              </a:p>
            </c:rich>
          </c:tx>
          <c:layout>
            <c:manualLayout>
              <c:xMode val="factor"/>
              <c:yMode val="factor"/>
              <c:x val="0.041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64984572"/>
        <c:crosses val="autoZero"/>
        <c:crossBetween val="midCat"/>
        <c:dispUnits/>
        <c:majorUnit val="1"/>
        <c:minorUnit val="0.5"/>
      </c:valAx>
      <c:valAx>
        <c:axId val="64984572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CO</a:t>
                </a:r>
                <a:r>
                  <a:rPr lang="en-US" cap="none" sz="950" b="1" i="0" u="none" baseline="-25000">
                    <a:latin typeface="Arial Cyr"/>
                    <a:ea typeface="Arial Cyr"/>
                    <a:cs typeface="Arial Cyr"/>
                  </a:rPr>
                  <a:t>2 </a:t>
                </a: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, %</a:t>
                </a:r>
              </a:p>
            </c:rich>
          </c:tx>
          <c:layout>
            <c:manualLayout>
              <c:xMode val="factor"/>
              <c:yMode val="factor"/>
              <c:x val="0.023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9416291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8375"/>
          <c:w val="0.9325"/>
          <c:h val="0.91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trendlineType val="linear"/>
            <c:dispEq val="0"/>
            <c:dispRSqr val="0"/>
          </c:trendline>
          <c:xVal>
            <c:numRef>
              <c:f>tiptop2!$AU$66:$AV$66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tiptop2!$AU$65:$AV$65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tiptop2!$AU$67:$AV$67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tiptop2!$AU$68:$AV$68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tiptop2!$AW$66:$AX$66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tiptop2!$AW$65:$AX$65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tiptop2!$AU$66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tiptop2!$AU$65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47990237"/>
        <c:axId val="29258950"/>
      </c:scatterChart>
      <c:valAx>
        <c:axId val="47990237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О</a:t>
                </a:r>
                <a:r>
                  <a:rPr lang="en-US" cap="none" sz="950" b="1" i="0" u="none" baseline="-25000">
                    <a:latin typeface="Arial Cyr"/>
                    <a:ea typeface="Arial Cyr"/>
                    <a:cs typeface="Arial Cyr"/>
                  </a:rPr>
                  <a:t>2</a:t>
                </a: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 , %</a:t>
                </a:r>
              </a:p>
            </c:rich>
          </c:tx>
          <c:layout>
            <c:manualLayout>
              <c:xMode val="factor"/>
              <c:yMode val="factor"/>
              <c:x val="0.041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9258950"/>
        <c:crosses val="autoZero"/>
        <c:crossBetween val="midCat"/>
        <c:dispUnits/>
        <c:majorUnit val="1"/>
        <c:minorUnit val="0.5"/>
      </c:valAx>
      <c:valAx>
        <c:axId val="29258950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CO</a:t>
                </a:r>
                <a:r>
                  <a:rPr lang="en-US" cap="none" sz="950" b="1" i="0" u="none" baseline="-25000">
                    <a:latin typeface="Arial Cyr"/>
                    <a:ea typeface="Arial Cyr"/>
                    <a:cs typeface="Arial Cyr"/>
                  </a:rPr>
                  <a:t>2</a:t>
                </a: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 , %</a:t>
                </a:r>
              </a:p>
            </c:rich>
          </c:tx>
          <c:layout>
            <c:manualLayout>
              <c:xMode val="factor"/>
              <c:yMode val="factor"/>
              <c:x val="0.023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7990237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0" i="0" u="none" baseline="0"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85"/>
          <c:y val="0.13625"/>
          <c:w val="0.651"/>
          <c:h val="0.836"/>
        </c:manualLayout>
      </c:layout>
      <c:scatterChart>
        <c:scatterStyle val="lineMarker"/>
        <c:varyColors val="0"/>
        <c:ser>
          <c:idx val="0"/>
          <c:order val="0"/>
          <c:tx>
            <c:strRef>
              <c:f>tiptop2!$B$136</c:f>
              <c:strCache>
                <c:ptCount val="1"/>
                <c:pt idx="0">
                  <c:v>расход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tiptop2!$C$135:$F$135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tiptop2!$C$136:$F$136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62003959"/>
        <c:axId val="21164720"/>
      </c:scatterChart>
      <c:valAx>
        <c:axId val="62003959"/>
        <c:scaling>
          <c:orientation val="minMax"/>
          <c:max val="50"/>
          <c:min val="10"/>
        </c:scaling>
        <c:axPos val="b"/>
        <c:delete val="0"/>
        <c:numFmt formatCode="General" sourceLinked="1"/>
        <c:majorTickMark val="out"/>
        <c:minorTickMark val="none"/>
        <c:tickLblPos val="nextTo"/>
        <c:crossAx val="21164720"/>
        <c:crosses val="autoZero"/>
        <c:crossBetween val="midCat"/>
        <c:dispUnits/>
        <c:majorUnit val="10"/>
        <c:minorUnit val="5"/>
      </c:valAx>
      <c:valAx>
        <c:axId val="21164720"/>
        <c:scaling>
          <c:orientation val="minMax"/>
          <c:max val="80"/>
          <c:min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03959"/>
        <c:crosses val="autoZero"/>
        <c:crossBetween val="midCat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35"/>
          <c:w val="0.9745"/>
          <c:h val="0.9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power"/>
            <c:dispEq val="0"/>
            <c:dispRSqr val="0"/>
          </c:trendline>
          <c:xVal>
            <c:numRef>
              <c:f>tiptop2!$G$68:$J$68</c:f>
              <c:numCache>
                <c:ptCount val="4"/>
                <c:pt idx="0">
                  <c:v>0.1</c:v>
                </c:pt>
                <c:pt idx="1">
                  <c:v>0.107</c:v>
                </c:pt>
                <c:pt idx="2">
                  <c:v>0.115</c:v>
                </c:pt>
                <c:pt idx="3">
                  <c:v>0.127</c:v>
                </c:pt>
              </c:numCache>
            </c:numRef>
          </c:xVal>
          <c:yVal>
            <c:numRef>
              <c:f>tiptop2!$G$70:$J$70</c:f>
              <c:numCache>
                <c:ptCount val="4"/>
                <c:pt idx="0">
                  <c:v>120</c:v>
                </c:pt>
                <c:pt idx="3">
                  <c:v>110</c:v>
                </c:pt>
              </c:numCache>
            </c:numRef>
          </c:yVal>
          <c:smooth val="0"/>
        </c:ser>
        <c:axId val="56264753"/>
        <c:axId val="36620730"/>
      </c:scatterChart>
      <c:valAx>
        <c:axId val="56264753"/>
        <c:scaling>
          <c:orientation val="minMax"/>
          <c:max val="1.8"/>
          <c:min val="0.3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6620730"/>
        <c:crosses val="autoZero"/>
        <c:crossBetween val="midCat"/>
        <c:dispUnits/>
        <c:majorUnit val="0.1"/>
        <c:minorUnit val="0.1"/>
      </c:valAx>
      <c:valAx>
        <c:axId val="36620730"/>
        <c:scaling>
          <c:orientation val="minMax"/>
          <c:max val="55"/>
          <c:min val="15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6264753"/>
        <c:crossesAt val="0.1"/>
        <c:crossBetween val="midCat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675"/>
          <c:w val="0.9795"/>
          <c:h val="0.9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power"/>
            <c:dispEq val="0"/>
            <c:dispRSqr val="0"/>
          </c:trendline>
          <c:xVal>
            <c:numRef>
              <c:f>tiptop2!$G$68:$J$68</c:f>
              <c:numCache>
                <c:ptCount val="4"/>
                <c:pt idx="0">
                  <c:v>0.1</c:v>
                </c:pt>
                <c:pt idx="1">
                  <c:v>0.107</c:v>
                </c:pt>
                <c:pt idx="2">
                  <c:v>0.115</c:v>
                </c:pt>
                <c:pt idx="3">
                  <c:v>0.127</c:v>
                </c:pt>
              </c:numCache>
            </c:numRef>
          </c:xVal>
          <c:yVal>
            <c:numRef>
              <c:f>tiptop2!$G$71:$J$71</c:f>
              <c:numCache>
                <c:ptCount val="4"/>
              </c:numCache>
            </c:numRef>
          </c:yVal>
          <c:smooth val="0"/>
        </c:ser>
        <c:axId val="61151115"/>
        <c:axId val="13489124"/>
      </c:scatterChart>
      <c:valAx>
        <c:axId val="61151115"/>
        <c:scaling>
          <c:orientation val="minMax"/>
          <c:max val="1.8"/>
          <c:min val="0.3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3489124"/>
        <c:crosses val="autoZero"/>
        <c:crossBetween val="midCat"/>
        <c:dispUnits/>
        <c:majorUnit val="0.1"/>
        <c:minorUnit val="0.1"/>
      </c:valAx>
      <c:valAx>
        <c:axId val="13489124"/>
        <c:scaling>
          <c:orientation val="minMax"/>
          <c:max val="50"/>
          <c:min val="5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61151115"/>
        <c:crosses val="autoZero"/>
        <c:crossBetween val="midCat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7"/>
          <c:w val="0.9795"/>
          <c:h val="0.95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power"/>
            <c:dispEq val="0"/>
            <c:dispRSqr val="0"/>
          </c:trendline>
          <c:xVal>
            <c:numRef>
              <c:f>tiptop2!$G$68:$J$68</c:f>
              <c:numCache>
                <c:ptCount val="4"/>
                <c:pt idx="0">
                  <c:v>0.1</c:v>
                </c:pt>
                <c:pt idx="1">
                  <c:v>0.107</c:v>
                </c:pt>
                <c:pt idx="2">
                  <c:v>0.115</c:v>
                </c:pt>
                <c:pt idx="3">
                  <c:v>0.127</c:v>
                </c:pt>
              </c:numCache>
            </c:numRef>
          </c:xVal>
          <c:yVal>
            <c:numRef>
              <c:f>tiptop2!$G$72:$J$72</c:f>
              <c:numCache>
                <c:ptCount val="4"/>
              </c:numCache>
            </c:numRef>
          </c:yVal>
          <c:smooth val="0"/>
        </c:ser>
        <c:axId val="54293253"/>
        <c:axId val="18877230"/>
      </c:scatterChart>
      <c:valAx>
        <c:axId val="54293253"/>
        <c:scaling>
          <c:orientation val="minMax"/>
          <c:max val="1.8"/>
          <c:min val="0.3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8877230"/>
        <c:crosses val="autoZero"/>
        <c:crossBetween val="midCat"/>
        <c:dispUnits/>
        <c:majorUnit val="0.1"/>
        <c:minorUnit val="0.1"/>
      </c:valAx>
      <c:valAx>
        <c:axId val="18877230"/>
        <c:scaling>
          <c:orientation val="minMax"/>
          <c:max val="5"/>
          <c:min val="0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4293253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74"/>
          <c:w val="0.777"/>
          <c:h val="0.92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5"/>
            <c:dispEq val="0"/>
            <c:dispRSqr val="0"/>
          </c:trendline>
          <c:xVal>
            <c:numLit>
              <c:ptCount val="2"/>
              <c:pt idx="0">
                <c:v>7.7</c:v>
              </c:pt>
              <c:pt idx="1">
                <c:v>0</c:v>
              </c:pt>
            </c:numLit>
          </c:xVal>
          <c:yVal>
            <c:numLit>
              <c:ptCount val="2"/>
              <c:pt idx="0">
                <c:v>7.45</c:v>
              </c:pt>
              <c:pt idx="1">
                <c:v>7.45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7.6923</c:v>
              </c:pt>
              <c:pt idx="1">
                <c:v>7.7</c:v>
              </c:pt>
            </c:numLit>
          </c:xVal>
          <c:yVal>
            <c:numLit>
              <c:ptCount val="2"/>
              <c:pt idx="0">
                <c:v>7.45</c:v>
              </c:pt>
              <c:pt idx="1">
                <c:v>0</c:v>
              </c:pt>
            </c:numLit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800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0</c:v>
              </c:pt>
              <c:pt idx="1">
                <c:v>21</c:v>
              </c:pt>
            </c:numLit>
          </c:xVal>
          <c:yVal>
            <c:numLit>
              <c:ptCount val="2"/>
              <c:pt idx="0">
                <c:v>11.8</c:v>
              </c:pt>
              <c:pt idx="1">
                <c:v>0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1"/>
              <c:pt idx="0">
                <c:v>7.7</c:v>
              </c:pt>
            </c:numLit>
          </c:xVal>
          <c:yVal>
            <c:numLit>
              <c:ptCount val="1"/>
              <c:pt idx="0">
                <c:v>7.45</c:v>
              </c:pt>
            </c:numLit>
          </c:yVal>
          <c:smooth val="0"/>
        </c:ser>
        <c:axId val="35677343"/>
        <c:axId val="52660632"/>
      </c:scatterChart>
      <c:valAx>
        <c:axId val="35677343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Cyr"/>
                    <a:ea typeface="Arial Cyr"/>
                    <a:cs typeface="Arial Cyr"/>
                  </a:rPr>
                  <a:t>О2, %</a:t>
                </a:r>
              </a:p>
            </c:rich>
          </c:tx>
          <c:layout>
            <c:manualLayout>
              <c:xMode val="factor"/>
              <c:yMode val="factor"/>
              <c:x val="0.04"/>
              <c:y val="0.13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2660632"/>
        <c:crosses val="autoZero"/>
        <c:crossBetween val="midCat"/>
        <c:dispUnits/>
        <c:majorUnit val="1"/>
        <c:minorUnit val="0.5"/>
      </c:valAx>
      <c:valAx>
        <c:axId val="52660632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Cyr"/>
                    <a:ea typeface="Arial Cyr"/>
                    <a:cs typeface="Arial Cyr"/>
                  </a:rPr>
                  <a:t>CO2, %</a:t>
                </a:r>
              </a:p>
            </c:rich>
          </c:tx>
          <c:layout>
            <c:manualLayout>
              <c:xMode val="factor"/>
              <c:yMode val="factor"/>
              <c:x val="0.024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5677343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745"/>
          <c:w val="0.80525"/>
          <c:h val="0.92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5"/>
            <c:dispEq val="0"/>
            <c:dispRSqr val="0"/>
          </c:trendline>
          <c:xVal>
            <c:numLit>
              <c:ptCount val="2"/>
              <c:pt idx="0">
                <c:v>6.4</c:v>
              </c:pt>
              <c:pt idx="1">
                <c:v>0</c:v>
              </c:pt>
            </c:numLit>
          </c:xVal>
          <c:yVal>
            <c:numLit>
              <c:ptCount val="2"/>
              <c:pt idx="0">
                <c:v>8.19</c:v>
              </c:pt>
              <c:pt idx="1">
                <c:v>8.19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6.3936</c:v>
              </c:pt>
              <c:pt idx="1">
                <c:v>6.4</c:v>
              </c:pt>
            </c:numLit>
          </c:xVal>
          <c:yVal>
            <c:numLit>
              <c:ptCount val="2"/>
              <c:pt idx="0">
                <c:v>8.19</c:v>
              </c:pt>
              <c:pt idx="1">
                <c:v>0</c:v>
              </c:pt>
            </c:numLit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0</c:v>
              </c:pt>
              <c:pt idx="1">
                <c:v>21</c:v>
              </c:pt>
            </c:numLit>
          </c:xVal>
          <c:yVal>
            <c:numLit>
              <c:ptCount val="2"/>
              <c:pt idx="0">
                <c:v>11.8</c:v>
              </c:pt>
              <c:pt idx="1">
                <c:v>0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1"/>
              <c:pt idx="0">
                <c:v>6.4</c:v>
              </c:pt>
            </c:numLit>
          </c:xVal>
          <c:yVal>
            <c:numLit>
              <c:ptCount val="1"/>
              <c:pt idx="0">
                <c:v>8.19</c:v>
              </c:pt>
            </c:numLit>
          </c:yVal>
          <c:smooth val="0"/>
        </c:ser>
        <c:axId val="4183641"/>
        <c:axId val="37652770"/>
      </c:scatterChart>
      <c:valAx>
        <c:axId val="4183641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 Cyr"/>
                    <a:ea typeface="Arial Cyr"/>
                    <a:cs typeface="Arial Cyr"/>
                  </a:rPr>
                  <a:t>O2, %</a:t>
                </a:r>
              </a:p>
            </c:rich>
          </c:tx>
          <c:layout>
            <c:manualLayout>
              <c:xMode val="factor"/>
              <c:yMode val="factor"/>
              <c:x val="0.0297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7652770"/>
        <c:crosses val="autoZero"/>
        <c:crossBetween val="midCat"/>
        <c:dispUnits/>
        <c:majorUnit val="1"/>
        <c:minorUnit val="0.5"/>
      </c:valAx>
      <c:valAx>
        <c:axId val="37652770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 Cyr"/>
                    <a:ea typeface="Arial Cyr"/>
                    <a:cs typeface="Arial Cyr"/>
                  </a:rPr>
                  <a:t>CO2, %</a:t>
                </a:r>
              </a:p>
            </c:rich>
          </c:tx>
          <c:layout>
            <c:manualLayout>
              <c:xMode val="factor"/>
              <c:yMode val="factor"/>
              <c:x val="0.0202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183641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trendlineType val="poly"/>
            <c:order val="4"/>
            <c:dispEq val="0"/>
            <c:dispRSqr val="0"/>
          </c:trendline>
          <c:xVal>
            <c:numLit>
              <c:ptCount val="2"/>
              <c:pt idx="0">
                <c:v>5.5</c:v>
              </c:pt>
              <c:pt idx="1">
                <c:v>0</c:v>
              </c:pt>
            </c:numLit>
          </c:xVal>
          <c:yVal>
            <c:numLit>
              <c:ptCount val="2"/>
              <c:pt idx="0">
                <c:v>8.69</c:v>
              </c:pt>
              <c:pt idx="1">
                <c:v>8.69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trendlineType val="linear"/>
            <c:dispEq val="0"/>
            <c:dispRSqr val="0"/>
          </c:trendline>
          <c:xVal>
            <c:numLit>
              <c:ptCount val="2"/>
              <c:pt idx="0">
                <c:v>5.4945</c:v>
              </c:pt>
              <c:pt idx="1">
                <c:v>5.5</c:v>
              </c:pt>
            </c:numLit>
          </c:xVal>
          <c:yVal>
            <c:numLit>
              <c:ptCount val="2"/>
              <c:pt idx="0">
                <c:v>8.69</c:v>
              </c:pt>
              <c:pt idx="1">
                <c:v>0</c:v>
              </c:pt>
            </c:numLit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8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0</c:v>
              </c:pt>
              <c:pt idx="1">
                <c:v>21</c:v>
              </c:pt>
            </c:numLit>
          </c:xVal>
          <c:yVal>
            <c:numLit>
              <c:ptCount val="2"/>
              <c:pt idx="0">
                <c:v>11.8</c:v>
              </c:pt>
              <c:pt idx="1">
                <c:v>0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1"/>
              <c:pt idx="0">
                <c:v>5.5</c:v>
              </c:pt>
            </c:numLit>
          </c:xVal>
          <c:yVal>
            <c:numLit>
              <c:ptCount val="1"/>
              <c:pt idx="0">
                <c:v>8.69</c:v>
              </c:pt>
            </c:numLit>
          </c:yVal>
          <c:smooth val="0"/>
        </c:ser>
        <c:axId val="3330611"/>
        <c:axId val="29975500"/>
      </c:scatterChart>
      <c:valAx>
        <c:axId val="3330611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Cyr"/>
                    <a:ea typeface="Arial Cyr"/>
                    <a:cs typeface="Arial Cyr"/>
                  </a:rPr>
                  <a:t>   
O2,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9975500"/>
        <c:crosses val="autoZero"/>
        <c:crossBetween val="midCat"/>
        <c:dispUnits/>
        <c:majorUnit val="1"/>
        <c:minorUnit val="0.5"/>
      </c:valAx>
      <c:valAx>
        <c:axId val="29975500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Cyr"/>
                    <a:ea typeface="Arial Cyr"/>
                    <a:cs typeface="Arial Cyr"/>
                  </a:rPr>
                  <a:t>CO2,%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330611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tiptop2!$G$70:$J$70</c:f>
              <c:numCache>
                <c:ptCount val="4"/>
                <c:pt idx="0">
                  <c:v>7.8</c:v>
                </c:pt>
                <c:pt idx="1">
                  <c:v>7.7</c:v>
                </c:pt>
                <c:pt idx="2">
                  <c:v>7.6</c:v>
                </c:pt>
                <c:pt idx="3">
                  <c:v>7.5</c:v>
                </c:pt>
              </c:numCache>
            </c:numRef>
          </c:xVal>
          <c:yVal>
            <c:numRef>
              <c:f>tiptop2!$G$71:$J$71</c:f>
              <c:numCache>
                <c:ptCount val="4"/>
              </c:numCache>
            </c:numRef>
          </c:yVal>
          <c:smooth val="0"/>
        </c:ser>
        <c:axId val="1344045"/>
        <c:axId val="12096406"/>
      </c:scatterChart>
      <c:valAx>
        <c:axId val="1344045"/>
        <c:scaling>
          <c:orientation val="minMax"/>
          <c:max val="15"/>
          <c:min val="1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2096406"/>
        <c:crosses val="autoZero"/>
        <c:crossBetween val="midCat"/>
        <c:dispUnits/>
        <c:majorUnit val="1"/>
        <c:minorUnit val="0.5"/>
      </c:valAx>
      <c:valAx>
        <c:axId val="12096406"/>
        <c:scaling>
          <c:orientation val="minMax"/>
          <c:max val="55"/>
          <c:min val="5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344045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1725"/>
          <c:w val="0.979"/>
          <c:h val="0.96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poly"/>
            <c:order val="2"/>
            <c:dispEq val="0"/>
            <c:dispRSqr val="0"/>
          </c:trendline>
          <c:xVal>
            <c:numRef>
              <c:f>tiptop1!$G$68:$J$68</c:f>
              <c:numCache/>
            </c:numRef>
          </c:xVal>
          <c:yVal>
            <c:numRef>
              <c:f>tiptop1!$G$71:$J$71</c:f>
              <c:numCache/>
            </c:numRef>
          </c:yVal>
          <c:smooth val="0"/>
        </c:ser>
        <c:axId val="58517877"/>
        <c:axId val="56898846"/>
      </c:scatterChart>
      <c:valAx>
        <c:axId val="58517877"/>
        <c:scaling>
          <c:orientation val="minMax"/>
          <c:max val="3"/>
          <c:min val="0.5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6898846"/>
        <c:crosses val="autoZero"/>
        <c:crossBetween val="midCat"/>
        <c:dispUnits/>
        <c:majorUnit val="0.5"/>
        <c:minorUnit val="0.1"/>
      </c:valAx>
      <c:valAx>
        <c:axId val="56898846"/>
        <c:scaling>
          <c:orientation val="minMax"/>
          <c:max val="90"/>
          <c:min val="10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8517877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"/>
          <c:w val="0.97275"/>
          <c:h val="0.97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poly"/>
            <c:order val="2"/>
            <c:dispEq val="0"/>
            <c:dispRSqr val="0"/>
          </c:trendline>
          <c:xVal>
            <c:numRef>
              <c:f>tiptop3!$G$68:$J$68</c:f>
              <c:numCache/>
            </c:numRef>
          </c:xVal>
          <c:yVal>
            <c:numRef>
              <c:f>tiptop3!$G$85:$J$85</c:f>
              <c:numCache/>
            </c:numRef>
          </c:yVal>
          <c:smooth val="0"/>
        </c:ser>
        <c:axId val="41758791"/>
        <c:axId val="40284800"/>
      </c:scatterChart>
      <c:valAx>
        <c:axId val="41758791"/>
        <c:scaling>
          <c:orientation val="minMax"/>
          <c:max val="1.8"/>
          <c:min val="0.3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0284800"/>
        <c:crosses val="autoZero"/>
        <c:crossBetween val="midCat"/>
        <c:dispUnits/>
        <c:majorUnit val="0.1"/>
        <c:minorUnit val="0.1"/>
      </c:valAx>
      <c:valAx>
        <c:axId val="40284800"/>
        <c:scaling>
          <c:orientation val="minMax"/>
          <c:max val="94"/>
          <c:min val="90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1758791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1675"/>
          <c:w val="0.97825"/>
          <c:h val="0.9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poly"/>
            <c:order val="2"/>
            <c:dispEq val="0"/>
            <c:dispRSqr val="0"/>
          </c:trendline>
          <c:xVal>
            <c:numRef>
              <c:f>tiptop3!$G$68:$J$68</c:f>
              <c:numCache/>
            </c:numRef>
          </c:xVal>
          <c:yVal>
            <c:numRef>
              <c:f>tiptop3!$G$81:$J$81</c:f>
              <c:numCache/>
            </c:numRef>
          </c:yVal>
          <c:smooth val="1"/>
        </c:ser>
        <c:axId val="27018881"/>
        <c:axId val="41843338"/>
      </c:scatterChart>
      <c:valAx>
        <c:axId val="27018881"/>
        <c:scaling>
          <c:orientation val="minMax"/>
          <c:max val="1.8"/>
          <c:min val="0.3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1843338"/>
        <c:crosses val="autoZero"/>
        <c:crossBetween val="midCat"/>
        <c:dispUnits/>
        <c:majorUnit val="0.1"/>
        <c:minorUnit val="0.1"/>
      </c:valAx>
      <c:valAx>
        <c:axId val="41843338"/>
        <c:scaling>
          <c:orientation val="minMax"/>
          <c:max val="9.5"/>
          <c:min val="5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7018881"/>
        <c:crossesAt val="0"/>
        <c:crossBetween val="midCat"/>
        <c:dispUnits/>
        <c:majorUnit val="0.5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34"/>
          <c:w val="0.979"/>
          <c:h val="0.9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linear"/>
            <c:dispEq val="0"/>
            <c:dispRSqr val="0"/>
          </c:trendline>
          <c:xVal>
            <c:numRef>
              <c:f>tiptop3!$G$68:$J$68</c:f>
              <c:numCache/>
            </c:numRef>
          </c:xVal>
          <c:yVal>
            <c:numRef>
              <c:f>tiptop3!$G$69:$J$69</c:f>
              <c:numCache/>
            </c:numRef>
          </c:yVal>
          <c:smooth val="0"/>
        </c:ser>
        <c:axId val="41045723"/>
        <c:axId val="33867188"/>
      </c:scatterChart>
      <c:valAx>
        <c:axId val="41045723"/>
        <c:scaling>
          <c:orientation val="minMax"/>
          <c:max val="1.8"/>
          <c:min val="0.3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3867188"/>
        <c:crosses val="autoZero"/>
        <c:crossBetween val="midCat"/>
        <c:dispUnits/>
        <c:majorUnit val="0.1"/>
        <c:minorUnit val="0.1"/>
      </c:valAx>
      <c:valAx>
        <c:axId val="33867188"/>
        <c:scaling>
          <c:orientation val="minMax"/>
          <c:max val="250"/>
          <c:min val="0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1045723"/>
        <c:crossesAt val="0"/>
        <c:crossBetween val="midCat"/>
        <c:dispUnits/>
        <c:majorUnit val="5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1325"/>
          <c:w val="0.9855"/>
          <c:h val="0.97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poly"/>
            <c:order val="2"/>
            <c:dispEq val="0"/>
            <c:dispRSqr val="0"/>
          </c:trendline>
          <c:xVal>
            <c:numRef>
              <c:f>tiptop3!$G$68:$J$68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tiptop3!$G$79:$J$79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36369237"/>
        <c:axId val="58887678"/>
      </c:scatterChart>
      <c:valAx>
        <c:axId val="36369237"/>
        <c:scaling>
          <c:orientation val="minMax"/>
          <c:max val="1.8"/>
          <c:min val="0.3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8887678"/>
        <c:crosses val="autoZero"/>
        <c:crossBetween val="midCat"/>
        <c:dispUnits/>
        <c:majorUnit val="0.1"/>
        <c:minorUnit val="0.1"/>
      </c:valAx>
      <c:valAx>
        <c:axId val="58887678"/>
        <c:scaling>
          <c:orientation val="minMax"/>
          <c:max val="10"/>
          <c:min val="9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6369237"/>
        <c:crossesAt val="0"/>
        <c:crossBetween val="midCat"/>
        <c:dispUnits/>
        <c:majorUnit val="0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0925"/>
          <c:w val="0.99375"/>
          <c:h val="0.9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power"/>
            <c:dispEq val="0"/>
            <c:dispRSqr val="0"/>
          </c:trendline>
          <c:xVal>
            <c:numRef>
              <c:f>tiptop3!$G$68:$J$68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tiptop3!$G$80:$J$80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60227055"/>
        <c:axId val="5172584"/>
      </c:scatterChart>
      <c:valAx>
        <c:axId val="60227055"/>
        <c:scaling>
          <c:orientation val="minMax"/>
          <c:max val="1.8"/>
          <c:min val="0.3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172584"/>
        <c:crossesAt val="0"/>
        <c:crossBetween val="midCat"/>
        <c:dispUnits/>
        <c:majorUnit val="0.1"/>
        <c:minorUnit val="0.1"/>
      </c:valAx>
      <c:valAx>
        <c:axId val="5172584"/>
        <c:scaling>
          <c:orientation val="minMax"/>
          <c:max val="1.3"/>
          <c:min val="1.15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60227055"/>
        <c:crossesAt val="0"/>
        <c:crossBetween val="midCat"/>
        <c:dispUnits/>
        <c:majorUnit val="0.05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poly"/>
            <c:order val="2"/>
            <c:dispEq val="0"/>
            <c:dispRSqr val="0"/>
          </c:trendline>
          <c:xVal>
            <c:numRef>
              <c:f>tiptop3!$G$68:$J$68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tiptop3!$G$75:$J$75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46553257"/>
        <c:axId val="16326130"/>
      </c:scatterChart>
      <c:valAx>
        <c:axId val="46553257"/>
        <c:scaling>
          <c:orientation val="minMax"/>
          <c:max val="1.8"/>
          <c:min val="0.3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6326130"/>
        <c:crosses val="autoZero"/>
        <c:crossBetween val="midCat"/>
        <c:dispUnits/>
        <c:majorUnit val="0.1"/>
        <c:minorUnit val="0.1"/>
      </c:valAx>
      <c:valAx>
        <c:axId val="16326130"/>
        <c:scaling>
          <c:orientation val="minMax"/>
          <c:max val="210"/>
          <c:min val="110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6553257"/>
        <c:crossesAt val="0"/>
        <c:crossBetween val="midCat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74"/>
          <c:w val="0.777"/>
          <c:h val="0.92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5"/>
            <c:dispEq val="0"/>
            <c:dispRSqr val="0"/>
          </c:trendline>
          <c:xVal>
            <c:numLit>
              <c:ptCount val="2"/>
              <c:pt idx="0">
                <c:v>7.7</c:v>
              </c:pt>
              <c:pt idx="1">
                <c:v>0</c:v>
              </c:pt>
            </c:numLit>
          </c:xVal>
          <c:yVal>
            <c:numLit>
              <c:ptCount val="2"/>
              <c:pt idx="0">
                <c:v>7.45</c:v>
              </c:pt>
              <c:pt idx="1">
                <c:v>7.45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7.6923</c:v>
              </c:pt>
              <c:pt idx="1">
                <c:v>7.7</c:v>
              </c:pt>
            </c:numLit>
          </c:xVal>
          <c:yVal>
            <c:numLit>
              <c:ptCount val="2"/>
              <c:pt idx="0">
                <c:v>7.45</c:v>
              </c:pt>
              <c:pt idx="1">
                <c:v>0</c:v>
              </c:pt>
            </c:numLit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800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0</c:v>
              </c:pt>
              <c:pt idx="1">
                <c:v>21</c:v>
              </c:pt>
            </c:numLit>
          </c:xVal>
          <c:yVal>
            <c:numLit>
              <c:ptCount val="2"/>
              <c:pt idx="0">
                <c:v>11.8</c:v>
              </c:pt>
              <c:pt idx="1">
                <c:v>0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1"/>
              <c:pt idx="0">
                <c:v>7.7</c:v>
              </c:pt>
            </c:numLit>
          </c:xVal>
          <c:yVal>
            <c:numLit>
              <c:ptCount val="1"/>
              <c:pt idx="0">
                <c:v>7.45</c:v>
              </c:pt>
            </c:numLit>
          </c:yVal>
          <c:smooth val="0"/>
        </c:ser>
        <c:axId val="12717443"/>
        <c:axId val="47348124"/>
      </c:scatterChart>
      <c:valAx>
        <c:axId val="12717443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Cyr"/>
                    <a:ea typeface="Arial Cyr"/>
                    <a:cs typeface="Arial Cyr"/>
                  </a:rPr>
                  <a:t>О2, %</a:t>
                </a:r>
              </a:p>
            </c:rich>
          </c:tx>
          <c:layout>
            <c:manualLayout>
              <c:xMode val="factor"/>
              <c:yMode val="factor"/>
              <c:x val="0.04"/>
              <c:y val="0.13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7348124"/>
        <c:crosses val="autoZero"/>
        <c:crossBetween val="midCat"/>
        <c:dispUnits/>
        <c:majorUnit val="1"/>
        <c:minorUnit val="0.5"/>
      </c:valAx>
      <c:valAx>
        <c:axId val="47348124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Cyr"/>
                    <a:ea typeface="Arial Cyr"/>
                    <a:cs typeface="Arial Cyr"/>
                  </a:rPr>
                  <a:t>CO2, %</a:t>
                </a:r>
              </a:p>
            </c:rich>
          </c:tx>
          <c:layout>
            <c:manualLayout>
              <c:xMode val="factor"/>
              <c:yMode val="factor"/>
              <c:x val="0.024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2717443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7275"/>
          <c:w val="0.80525"/>
          <c:h val="0.92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5"/>
            <c:dispEq val="0"/>
            <c:dispRSqr val="0"/>
          </c:trendline>
          <c:xVal>
            <c:numLit>
              <c:ptCount val="2"/>
              <c:pt idx="0">
                <c:v>6.4</c:v>
              </c:pt>
              <c:pt idx="1">
                <c:v>0</c:v>
              </c:pt>
            </c:numLit>
          </c:xVal>
          <c:yVal>
            <c:numLit>
              <c:ptCount val="2"/>
              <c:pt idx="0">
                <c:v>8.19</c:v>
              </c:pt>
              <c:pt idx="1">
                <c:v>8.19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6.3936</c:v>
              </c:pt>
              <c:pt idx="1">
                <c:v>6.4</c:v>
              </c:pt>
            </c:numLit>
          </c:xVal>
          <c:yVal>
            <c:numLit>
              <c:ptCount val="2"/>
              <c:pt idx="0">
                <c:v>8.19</c:v>
              </c:pt>
              <c:pt idx="1">
                <c:v>0</c:v>
              </c:pt>
            </c:numLit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0</c:v>
              </c:pt>
              <c:pt idx="1">
                <c:v>21</c:v>
              </c:pt>
            </c:numLit>
          </c:xVal>
          <c:yVal>
            <c:numLit>
              <c:ptCount val="2"/>
              <c:pt idx="0">
                <c:v>11.8</c:v>
              </c:pt>
              <c:pt idx="1">
                <c:v>0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1"/>
              <c:pt idx="0">
                <c:v>6.4</c:v>
              </c:pt>
            </c:numLit>
          </c:xVal>
          <c:yVal>
            <c:numLit>
              <c:ptCount val="1"/>
              <c:pt idx="0">
                <c:v>8.19</c:v>
              </c:pt>
            </c:numLit>
          </c:yVal>
          <c:smooth val="0"/>
        </c:ser>
        <c:axId val="23479933"/>
        <c:axId val="9992806"/>
      </c:scatterChart>
      <c:valAx>
        <c:axId val="23479933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 Cyr"/>
                    <a:ea typeface="Arial Cyr"/>
                    <a:cs typeface="Arial Cyr"/>
                  </a:rPr>
                  <a:t>O2, %</a:t>
                </a:r>
              </a:p>
            </c:rich>
          </c:tx>
          <c:layout>
            <c:manualLayout>
              <c:xMode val="factor"/>
              <c:yMode val="factor"/>
              <c:x val="0.0297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9992806"/>
        <c:crosses val="autoZero"/>
        <c:crossBetween val="midCat"/>
        <c:dispUnits/>
        <c:majorUnit val="1"/>
        <c:minorUnit val="0.5"/>
      </c:valAx>
      <c:valAx>
        <c:axId val="9992806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 Cyr"/>
                    <a:ea typeface="Arial Cyr"/>
                    <a:cs typeface="Arial Cyr"/>
                  </a:rPr>
                  <a:t>CO2, %</a:t>
                </a:r>
              </a:p>
            </c:rich>
          </c:tx>
          <c:layout>
            <c:manualLayout>
              <c:xMode val="factor"/>
              <c:yMode val="factor"/>
              <c:x val="0.0202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3479933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trendlineType val="poly"/>
            <c:order val="4"/>
            <c:dispEq val="0"/>
            <c:dispRSqr val="0"/>
          </c:trendline>
          <c:xVal>
            <c:numLit>
              <c:ptCount val="2"/>
              <c:pt idx="0">
                <c:v>5.5</c:v>
              </c:pt>
              <c:pt idx="1">
                <c:v>0</c:v>
              </c:pt>
            </c:numLit>
          </c:xVal>
          <c:yVal>
            <c:numLit>
              <c:ptCount val="2"/>
              <c:pt idx="0">
                <c:v>8.69</c:v>
              </c:pt>
              <c:pt idx="1">
                <c:v>8.69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trendlineType val="linear"/>
            <c:dispEq val="0"/>
            <c:dispRSqr val="0"/>
          </c:trendline>
          <c:xVal>
            <c:numLit>
              <c:ptCount val="2"/>
              <c:pt idx="0">
                <c:v>5.4945</c:v>
              </c:pt>
              <c:pt idx="1">
                <c:v>5.5</c:v>
              </c:pt>
            </c:numLit>
          </c:xVal>
          <c:yVal>
            <c:numLit>
              <c:ptCount val="2"/>
              <c:pt idx="0">
                <c:v>8.69</c:v>
              </c:pt>
              <c:pt idx="1">
                <c:v>0</c:v>
              </c:pt>
            </c:numLit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8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0</c:v>
              </c:pt>
              <c:pt idx="1">
                <c:v>21</c:v>
              </c:pt>
            </c:numLit>
          </c:xVal>
          <c:yVal>
            <c:numLit>
              <c:ptCount val="2"/>
              <c:pt idx="0">
                <c:v>11.8</c:v>
              </c:pt>
              <c:pt idx="1">
                <c:v>0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1"/>
              <c:pt idx="0">
                <c:v>5.5</c:v>
              </c:pt>
            </c:numLit>
          </c:xVal>
          <c:yVal>
            <c:numLit>
              <c:ptCount val="1"/>
              <c:pt idx="0">
                <c:v>8.69</c:v>
              </c:pt>
            </c:numLit>
          </c:yVal>
          <c:smooth val="0"/>
        </c:ser>
        <c:axId val="22826391"/>
        <c:axId val="4110928"/>
      </c:scatterChart>
      <c:valAx>
        <c:axId val="22826391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Cyr"/>
                    <a:ea typeface="Arial Cyr"/>
                    <a:cs typeface="Arial Cyr"/>
                  </a:rPr>
                  <a:t>   
O2,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110928"/>
        <c:crosses val="autoZero"/>
        <c:crossBetween val="midCat"/>
        <c:dispUnits/>
        <c:majorUnit val="1"/>
        <c:minorUnit val="0.5"/>
      </c:valAx>
      <c:valAx>
        <c:axId val="4110928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Cyr"/>
                    <a:ea typeface="Arial Cyr"/>
                    <a:cs typeface="Arial Cyr"/>
                  </a:rPr>
                  <a:t>CO2,%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2826391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054"/>
          <c:w val="0.877"/>
          <c:h val="0.94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tiptop3!$AU$78:$AV$78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tiptop3!$AU$77:$AV$77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tiptop3!$AU$79:$AV$79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tiptop3!$AU$80:$AV$80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8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tiptop3!$AW$66:$AX$66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tiptop3!$AW$65:$AX$65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tiptop3!$AU$78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tiptop3!$AU$77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36998353"/>
        <c:axId val="64549722"/>
      </c:scatterChart>
      <c:valAx>
        <c:axId val="36998353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О2, %</a:t>
                </a:r>
              </a:p>
            </c:rich>
          </c:tx>
          <c:layout>
            <c:manualLayout>
              <c:xMode val="factor"/>
              <c:yMode val="factor"/>
              <c:x val="0.025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64549722"/>
        <c:crosses val="autoZero"/>
        <c:crossBetween val="midCat"/>
        <c:dispUnits/>
        <c:majorUnit val="1"/>
        <c:minorUnit val="0.5"/>
      </c:valAx>
      <c:valAx>
        <c:axId val="64549722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CO2, %</a:t>
                </a:r>
              </a:p>
            </c:rich>
          </c:tx>
          <c:layout>
            <c:manualLayout>
              <c:xMode val="factor"/>
              <c:yMode val="factor"/>
              <c:x val="0.024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6998353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26"/>
          <c:w val="0.9785"/>
          <c:h val="0.95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power"/>
            <c:dispEq val="0"/>
            <c:dispRSqr val="0"/>
          </c:trendline>
          <c:xVal>
            <c:numRef>
              <c:f>tiptop1!$G$68:$J$68</c:f>
              <c:numCache/>
            </c:numRef>
          </c:xVal>
          <c:yVal>
            <c:numRef>
              <c:f>tiptop1!$G$72:$J$72</c:f>
              <c:numCache/>
            </c:numRef>
          </c:yVal>
          <c:smooth val="0"/>
        </c:ser>
        <c:axId val="42327567"/>
        <c:axId val="45403784"/>
      </c:scatterChart>
      <c:valAx>
        <c:axId val="42327567"/>
        <c:scaling>
          <c:orientation val="minMax"/>
          <c:max val="3"/>
          <c:min val="0.5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5403784"/>
        <c:crosses val="autoZero"/>
        <c:crossBetween val="midCat"/>
        <c:dispUnits/>
        <c:majorUnit val="0.5"/>
        <c:minorUnit val="0.1"/>
      </c:valAx>
      <c:valAx>
        <c:axId val="45403784"/>
        <c:scaling>
          <c:orientation val="minMax"/>
          <c:max val="5"/>
          <c:min val="0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2327567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53"/>
          <c:w val="0.92475"/>
          <c:h val="0.94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tiptop3!$AU$66:$AV$66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tiptop3!$AU$65:$AV$65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tiptop3!$AU$67:$AV$67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tiptop3!$AU$68:$AV$68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tiptop3!$AW$66:$AX$66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tiptop3!$AW$65:$AX$65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tiptop3!$AU$66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tiptop3!$AU$65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44076587"/>
        <c:axId val="61144964"/>
      </c:scatterChart>
      <c:valAx>
        <c:axId val="44076587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О2, %</a:t>
                </a:r>
              </a:p>
            </c:rich>
          </c:tx>
          <c:layout>
            <c:manualLayout>
              <c:xMode val="factor"/>
              <c:yMode val="factor"/>
              <c:x val="0.023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61144964"/>
        <c:crosses val="autoZero"/>
        <c:crossBetween val="midCat"/>
        <c:dispUnits/>
        <c:majorUnit val="1"/>
        <c:minorUnit val="0.5"/>
      </c:valAx>
      <c:valAx>
        <c:axId val="61144964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CO2, %</a:t>
                </a:r>
              </a:p>
            </c:rich>
          </c:tx>
          <c:layout>
            <c:manualLayout>
              <c:xMode val="factor"/>
              <c:yMode val="factor"/>
              <c:x val="0.024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4076587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8025"/>
          <c:w val="0.922"/>
          <c:h val="0.91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tiptop3!$AU$78:$AV$78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tiptop3!$AU$77:$AV$77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tiptop3!$AU$79:$AV$79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tiptop3!$AU$80:$AV$80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8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tiptop3!$AW$66:$AX$66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tiptop3!$AW$65:$AX$65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tiptop3!$AU$78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tiptop3!$AU$77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13433765"/>
        <c:axId val="53795022"/>
      </c:scatterChart>
      <c:valAx>
        <c:axId val="13433765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О</a:t>
                </a:r>
                <a:r>
                  <a:rPr lang="en-US" cap="none" sz="950" b="1" i="0" u="none" baseline="-25000">
                    <a:latin typeface="Arial Cyr"/>
                    <a:ea typeface="Arial Cyr"/>
                    <a:cs typeface="Arial Cyr"/>
                  </a:rPr>
                  <a:t>2</a:t>
                </a: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 , %</a:t>
                </a:r>
              </a:p>
            </c:rich>
          </c:tx>
          <c:layout>
            <c:manualLayout>
              <c:xMode val="factor"/>
              <c:yMode val="factor"/>
              <c:x val="0.041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3795022"/>
        <c:crosses val="autoZero"/>
        <c:crossBetween val="midCat"/>
        <c:dispUnits/>
        <c:majorUnit val="1"/>
        <c:minorUnit val="0.5"/>
      </c:valAx>
      <c:valAx>
        <c:axId val="53795022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CO</a:t>
                </a:r>
                <a:r>
                  <a:rPr lang="en-US" cap="none" sz="950" b="1" i="0" u="none" baseline="-25000">
                    <a:latin typeface="Arial Cyr"/>
                    <a:ea typeface="Arial Cyr"/>
                    <a:cs typeface="Arial Cyr"/>
                  </a:rPr>
                  <a:t>2</a:t>
                </a: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 , %</a:t>
                </a:r>
              </a:p>
            </c:rich>
          </c:tx>
          <c:layout>
            <c:manualLayout>
              <c:xMode val="factor"/>
              <c:yMode val="factor"/>
              <c:x val="0.019"/>
              <c:y val="0.16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3433765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6"/>
          <c:w val="0.9445"/>
          <c:h val="0.92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tiptop3!$AU$74:$AV$74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tiptop3!$AU$73:$AV$73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tiptop3!$AU$75:$AV$75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tiptop3!$AU$76:$AV$76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tiptop3!$AW$66:$AX$66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tiptop3!$AW$65:$AX$65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tiptop3!$AU$74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tiptop3!$AU$73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14393151"/>
        <c:axId val="62429496"/>
      </c:scatterChart>
      <c:valAx>
        <c:axId val="14393151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О</a:t>
                </a:r>
                <a:r>
                  <a:rPr lang="en-US" cap="none" sz="950" b="1" i="0" u="none" baseline="-25000">
                    <a:latin typeface="Arial Cyr"/>
                    <a:ea typeface="Arial Cyr"/>
                    <a:cs typeface="Arial Cyr"/>
                  </a:rPr>
                  <a:t>2</a:t>
                </a: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 , %</a:t>
                </a:r>
              </a:p>
            </c:rich>
          </c:tx>
          <c:layout>
            <c:manualLayout>
              <c:xMode val="factor"/>
              <c:yMode val="factor"/>
              <c:x val="0.044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62429496"/>
        <c:crosses val="autoZero"/>
        <c:crossBetween val="midCat"/>
        <c:dispUnits/>
        <c:majorUnit val="1"/>
        <c:minorUnit val="0.5"/>
      </c:valAx>
      <c:valAx>
        <c:axId val="62429496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CO</a:t>
                </a:r>
                <a:r>
                  <a:rPr lang="en-US" cap="none" sz="950" b="1" i="0" u="none" baseline="-25000">
                    <a:latin typeface="Arial Cyr"/>
                    <a:ea typeface="Arial Cyr"/>
                    <a:cs typeface="Arial Cyr"/>
                  </a:rPr>
                  <a:t>2</a:t>
                </a: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 , %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4393151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7375"/>
          <c:w val="0.9265"/>
          <c:h val="0.92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trendlineType val="linear"/>
            <c:dispEq val="0"/>
            <c:dispRSqr val="0"/>
          </c:trendline>
          <c:xVal>
            <c:numRef>
              <c:f>tiptop3!$AU$70:$AV$70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tiptop3!$AU$69:$AV$69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tiptop3!$AU$71:$AV$71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tiptop3!$AU$72:$AV$72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8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tiptop3!$AW$66:$AX$66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tiptop3!$AW$65:$AX$65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tiptop3!$AU$70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tiptop3!$AU$69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24994553"/>
        <c:axId val="23624386"/>
      </c:scatterChart>
      <c:valAx>
        <c:axId val="24994553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О</a:t>
                </a:r>
                <a:r>
                  <a:rPr lang="en-US" cap="none" sz="950" b="1" i="0" u="none" baseline="-25000">
                    <a:latin typeface="Arial Cyr"/>
                    <a:ea typeface="Arial Cyr"/>
                    <a:cs typeface="Arial Cyr"/>
                  </a:rPr>
                  <a:t>2</a:t>
                </a: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 , %</a:t>
                </a:r>
              </a:p>
            </c:rich>
          </c:tx>
          <c:layout>
            <c:manualLayout>
              <c:xMode val="factor"/>
              <c:yMode val="factor"/>
              <c:x val="0.041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3624386"/>
        <c:crosses val="autoZero"/>
        <c:crossBetween val="midCat"/>
        <c:dispUnits/>
        <c:majorUnit val="1"/>
        <c:minorUnit val="0.5"/>
      </c:valAx>
      <c:valAx>
        <c:axId val="23624386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CO</a:t>
                </a:r>
                <a:r>
                  <a:rPr lang="en-US" cap="none" sz="950" b="1" i="0" u="none" baseline="-25000">
                    <a:latin typeface="Arial Cyr"/>
                    <a:ea typeface="Arial Cyr"/>
                    <a:cs typeface="Arial Cyr"/>
                  </a:rPr>
                  <a:t>2 </a:t>
                </a: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, %</a:t>
                </a:r>
              </a:p>
            </c:rich>
          </c:tx>
          <c:layout>
            <c:manualLayout>
              <c:xMode val="factor"/>
              <c:yMode val="factor"/>
              <c:x val="0.023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4994553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6825"/>
          <c:w val="0.935"/>
          <c:h val="0.93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trendlineType val="linear"/>
            <c:dispEq val="0"/>
            <c:dispRSqr val="0"/>
          </c:trendline>
          <c:xVal>
            <c:numRef>
              <c:f>tiptop3!$AU$66:$AV$66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tiptop3!$AU$65:$AV$65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tiptop3!$AU$67:$AV$67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tiptop3!$AU$68:$AV$68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tiptop3!$AW$66:$AX$66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tiptop3!$AW$65:$AX$65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tiptop3!$AU$66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tiptop3!$AU$65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11292883"/>
        <c:axId val="34527084"/>
      </c:scatterChart>
      <c:valAx>
        <c:axId val="11292883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О</a:t>
                </a:r>
                <a:r>
                  <a:rPr lang="en-US" cap="none" sz="950" b="1" i="0" u="none" baseline="-25000">
                    <a:latin typeface="Arial Cyr"/>
                    <a:ea typeface="Arial Cyr"/>
                    <a:cs typeface="Arial Cyr"/>
                  </a:rPr>
                  <a:t>2</a:t>
                </a: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 , %</a:t>
                </a:r>
              </a:p>
            </c:rich>
          </c:tx>
          <c:layout>
            <c:manualLayout>
              <c:xMode val="factor"/>
              <c:yMode val="factor"/>
              <c:x val="0.041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4527084"/>
        <c:crosses val="autoZero"/>
        <c:crossBetween val="midCat"/>
        <c:dispUnits/>
        <c:majorUnit val="1"/>
        <c:minorUnit val="0.5"/>
      </c:valAx>
      <c:valAx>
        <c:axId val="34527084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CO</a:t>
                </a:r>
                <a:r>
                  <a:rPr lang="en-US" cap="none" sz="950" b="1" i="0" u="none" baseline="-25000">
                    <a:latin typeface="Arial Cyr"/>
                    <a:ea typeface="Arial Cyr"/>
                    <a:cs typeface="Arial Cyr"/>
                  </a:rPr>
                  <a:t>2</a:t>
                </a: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 , %</a:t>
                </a:r>
              </a:p>
            </c:rich>
          </c:tx>
          <c:layout>
            <c:manualLayout>
              <c:xMode val="factor"/>
              <c:yMode val="factor"/>
              <c:x val="0.023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1292883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tiptop3!$D$134</c:f>
              <c:strCache>
                <c:ptCount val="1"/>
                <c:pt idx="0">
                  <c:v>расход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tiptop3!$E$133:$M$133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tiptop3!$E$134:$M$134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axId val="42308301"/>
        <c:axId val="45230390"/>
      </c:scatterChart>
      <c:valAx>
        <c:axId val="42308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30390"/>
        <c:crosses val="autoZero"/>
        <c:crossBetween val="midCat"/>
        <c:dispUnits/>
      </c:valAx>
      <c:valAx>
        <c:axId val="452303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3083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7"/>
          <c:w val="0.65025"/>
          <c:h val="0.946"/>
        </c:manualLayout>
      </c:layout>
      <c:scatterChart>
        <c:scatterStyle val="lineMarker"/>
        <c:varyColors val="0"/>
        <c:ser>
          <c:idx val="0"/>
          <c:order val="0"/>
          <c:tx>
            <c:v>расход малый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tiptop3!$B$164:$D$164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tiptop3!$B$165:$D$165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расход большой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tiptop3!$D$164:$J$164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tiptop3!$D$165:$J$165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4420327"/>
        <c:axId val="39782944"/>
      </c:scatterChart>
      <c:valAx>
        <c:axId val="4420327"/>
        <c:scaling>
          <c:orientation val="minMax"/>
          <c:max val="70"/>
          <c:min val="10"/>
        </c:scaling>
        <c:axPos val="b"/>
        <c:delete val="0"/>
        <c:numFmt formatCode="General" sourceLinked="1"/>
        <c:majorTickMark val="out"/>
        <c:minorTickMark val="none"/>
        <c:tickLblPos val="nextTo"/>
        <c:crossAx val="39782944"/>
        <c:crosses val="autoZero"/>
        <c:crossBetween val="midCat"/>
        <c:dispUnits/>
        <c:majorUnit val="10"/>
        <c:minorUnit val="5"/>
      </c:valAx>
      <c:valAx>
        <c:axId val="39782944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20327"/>
        <c:crosses val="autoZero"/>
        <c:crossBetween val="midCat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6675"/>
          <c:w val="0.777"/>
          <c:h val="0.93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5"/>
            <c:dispEq val="0"/>
            <c:dispRSqr val="0"/>
          </c:trendline>
          <c:xVal>
            <c:numLit>
              <c:ptCount val="2"/>
              <c:pt idx="0">
                <c:v>7.7</c:v>
              </c:pt>
              <c:pt idx="1">
                <c:v>0</c:v>
              </c:pt>
            </c:numLit>
          </c:xVal>
          <c:yVal>
            <c:numLit>
              <c:ptCount val="2"/>
              <c:pt idx="0">
                <c:v>7.45</c:v>
              </c:pt>
              <c:pt idx="1">
                <c:v>7.45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7.6923</c:v>
              </c:pt>
              <c:pt idx="1">
                <c:v>7.7</c:v>
              </c:pt>
            </c:numLit>
          </c:xVal>
          <c:yVal>
            <c:numLit>
              <c:ptCount val="2"/>
              <c:pt idx="0">
                <c:v>7.45</c:v>
              </c:pt>
              <c:pt idx="1">
                <c:v>0</c:v>
              </c:pt>
            </c:numLit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800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0</c:v>
              </c:pt>
              <c:pt idx="1">
                <c:v>21</c:v>
              </c:pt>
            </c:numLit>
          </c:xVal>
          <c:yVal>
            <c:numLit>
              <c:ptCount val="2"/>
              <c:pt idx="0">
                <c:v>11.8</c:v>
              </c:pt>
              <c:pt idx="1">
                <c:v>0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1"/>
              <c:pt idx="0">
                <c:v>7.7</c:v>
              </c:pt>
            </c:numLit>
          </c:xVal>
          <c:yVal>
            <c:numLit>
              <c:ptCount val="1"/>
              <c:pt idx="0">
                <c:v>7.45</c:v>
              </c:pt>
            </c:numLit>
          </c:yVal>
          <c:smooth val="0"/>
        </c:ser>
        <c:axId val="22502177"/>
        <c:axId val="1193002"/>
      </c:scatterChart>
      <c:valAx>
        <c:axId val="22502177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Cyr"/>
                    <a:ea typeface="Arial Cyr"/>
                    <a:cs typeface="Arial Cyr"/>
                  </a:rPr>
                  <a:t>О2, %</a:t>
                </a:r>
              </a:p>
            </c:rich>
          </c:tx>
          <c:layout>
            <c:manualLayout>
              <c:xMode val="factor"/>
              <c:yMode val="factor"/>
              <c:x val="0.04"/>
              <c:y val="0.13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193002"/>
        <c:crosses val="autoZero"/>
        <c:crossBetween val="midCat"/>
        <c:dispUnits/>
        <c:majorUnit val="1"/>
        <c:minorUnit val="0.5"/>
      </c:valAx>
      <c:valAx>
        <c:axId val="1193002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Cyr"/>
                    <a:ea typeface="Arial Cyr"/>
                    <a:cs typeface="Arial Cyr"/>
                  </a:rPr>
                  <a:t>CO2, %</a:t>
                </a:r>
              </a:p>
            </c:rich>
          </c:tx>
          <c:layout>
            <c:manualLayout>
              <c:xMode val="factor"/>
              <c:yMode val="factor"/>
              <c:x val="0.024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2502177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685"/>
          <c:w val="0.80625"/>
          <c:h val="0.93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5"/>
            <c:dispEq val="0"/>
            <c:dispRSqr val="0"/>
          </c:trendline>
          <c:xVal>
            <c:numLit>
              <c:ptCount val="2"/>
              <c:pt idx="0">
                <c:v>6.4</c:v>
              </c:pt>
              <c:pt idx="1">
                <c:v>0</c:v>
              </c:pt>
            </c:numLit>
          </c:xVal>
          <c:yVal>
            <c:numLit>
              <c:ptCount val="2"/>
              <c:pt idx="0">
                <c:v>8.19</c:v>
              </c:pt>
              <c:pt idx="1">
                <c:v>8.19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6.3936</c:v>
              </c:pt>
              <c:pt idx="1">
                <c:v>6.4</c:v>
              </c:pt>
            </c:numLit>
          </c:xVal>
          <c:yVal>
            <c:numLit>
              <c:ptCount val="2"/>
              <c:pt idx="0">
                <c:v>8.19</c:v>
              </c:pt>
              <c:pt idx="1">
                <c:v>0</c:v>
              </c:pt>
            </c:numLit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0</c:v>
              </c:pt>
              <c:pt idx="1">
                <c:v>21</c:v>
              </c:pt>
            </c:numLit>
          </c:xVal>
          <c:yVal>
            <c:numLit>
              <c:ptCount val="2"/>
              <c:pt idx="0">
                <c:v>11.8</c:v>
              </c:pt>
              <c:pt idx="1">
                <c:v>0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1"/>
              <c:pt idx="0">
                <c:v>6.4</c:v>
              </c:pt>
            </c:numLit>
          </c:xVal>
          <c:yVal>
            <c:numLit>
              <c:ptCount val="1"/>
              <c:pt idx="0">
                <c:v>8.19</c:v>
              </c:pt>
            </c:numLit>
          </c:yVal>
          <c:smooth val="0"/>
        </c:ser>
        <c:axId val="10737019"/>
        <c:axId val="29524308"/>
      </c:scatterChart>
      <c:valAx>
        <c:axId val="10737019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 Cyr"/>
                    <a:ea typeface="Arial Cyr"/>
                    <a:cs typeface="Arial Cyr"/>
                  </a:rPr>
                  <a:t>O2, %</a:t>
                </a:r>
              </a:p>
            </c:rich>
          </c:tx>
          <c:layout>
            <c:manualLayout>
              <c:xMode val="factor"/>
              <c:yMode val="factor"/>
              <c:x val="0.0297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9524308"/>
        <c:crosses val="autoZero"/>
        <c:crossBetween val="midCat"/>
        <c:dispUnits/>
        <c:majorUnit val="1"/>
        <c:minorUnit val="0.5"/>
      </c:valAx>
      <c:valAx>
        <c:axId val="29524308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 Cyr"/>
                    <a:ea typeface="Arial Cyr"/>
                    <a:cs typeface="Arial Cyr"/>
                  </a:rPr>
                  <a:t>CO2, %</a:t>
                </a:r>
              </a:p>
            </c:rich>
          </c:tx>
          <c:layout>
            <c:manualLayout>
              <c:xMode val="factor"/>
              <c:yMode val="factor"/>
              <c:x val="0.0202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0737019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trendlineType val="poly"/>
            <c:order val="4"/>
            <c:dispEq val="0"/>
            <c:dispRSqr val="0"/>
          </c:trendline>
          <c:xVal>
            <c:numLit>
              <c:ptCount val="2"/>
              <c:pt idx="0">
                <c:v>5.5</c:v>
              </c:pt>
              <c:pt idx="1">
                <c:v>0</c:v>
              </c:pt>
            </c:numLit>
          </c:xVal>
          <c:yVal>
            <c:numLit>
              <c:ptCount val="2"/>
              <c:pt idx="0">
                <c:v>8.69</c:v>
              </c:pt>
              <c:pt idx="1">
                <c:v>8.69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trendlineType val="linear"/>
            <c:dispEq val="0"/>
            <c:dispRSqr val="0"/>
          </c:trendline>
          <c:xVal>
            <c:numLit>
              <c:ptCount val="2"/>
              <c:pt idx="0">
                <c:v>5.4945</c:v>
              </c:pt>
              <c:pt idx="1">
                <c:v>5.5</c:v>
              </c:pt>
            </c:numLit>
          </c:xVal>
          <c:yVal>
            <c:numLit>
              <c:ptCount val="2"/>
              <c:pt idx="0">
                <c:v>8.69</c:v>
              </c:pt>
              <c:pt idx="1">
                <c:v>0</c:v>
              </c:pt>
            </c:numLit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8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0</c:v>
              </c:pt>
              <c:pt idx="1">
                <c:v>21</c:v>
              </c:pt>
            </c:numLit>
          </c:xVal>
          <c:yVal>
            <c:numLit>
              <c:ptCount val="2"/>
              <c:pt idx="0">
                <c:v>11.8</c:v>
              </c:pt>
              <c:pt idx="1">
                <c:v>0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1"/>
              <c:pt idx="0">
                <c:v>5.5</c:v>
              </c:pt>
            </c:numLit>
          </c:xVal>
          <c:yVal>
            <c:numLit>
              <c:ptCount val="1"/>
              <c:pt idx="0">
                <c:v>8.69</c:v>
              </c:pt>
            </c:numLit>
          </c:yVal>
          <c:smooth val="0"/>
        </c:ser>
        <c:axId val="64392181"/>
        <c:axId val="42658718"/>
      </c:scatterChart>
      <c:valAx>
        <c:axId val="64392181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Cyr"/>
                    <a:ea typeface="Arial Cyr"/>
                    <a:cs typeface="Arial Cyr"/>
                  </a:rPr>
                  <a:t>   
O2,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2658718"/>
        <c:crosses val="autoZero"/>
        <c:crossBetween val="midCat"/>
        <c:dispUnits/>
        <c:majorUnit val="1"/>
        <c:minorUnit val="0.5"/>
      </c:valAx>
      <c:valAx>
        <c:axId val="42658718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Cyr"/>
                    <a:ea typeface="Arial Cyr"/>
                    <a:cs typeface="Arial Cyr"/>
                  </a:rPr>
                  <a:t>CO2,%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64392181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135"/>
          <c:w val="0.984"/>
          <c:h val="0.9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poly"/>
            <c:order val="2"/>
            <c:dispEq val="0"/>
            <c:dispRSqr val="0"/>
          </c:trendline>
          <c:xVal>
            <c:numRef>
              <c:f>tiptop1!$G$68:$J$68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tiptop1!$G$79:$J$79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5980873"/>
        <c:axId val="53827858"/>
      </c:scatterChart>
      <c:valAx>
        <c:axId val="5980873"/>
        <c:scaling>
          <c:orientation val="minMax"/>
          <c:max val="2.6"/>
          <c:min val="0.5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3827858"/>
        <c:crosses val="autoZero"/>
        <c:crossBetween val="midCat"/>
        <c:dispUnits/>
        <c:majorUnit val="0.5"/>
        <c:minorUnit val="0.1"/>
      </c:valAx>
      <c:valAx>
        <c:axId val="53827858"/>
        <c:scaling>
          <c:orientation val="minMax"/>
          <c:max val="10"/>
          <c:min val="9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980873"/>
        <c:crossesAt val="0"/>
        <c:crossBetween val="midCat"/>
        <c:dispUnits/>
        <c:majorUnit val="0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"/>
          <c:w val="0.97275"/>
          <c:h val="0.97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tiptop4!$G$68:$J$68</c:f>
              <c:numCache/>
            </c:numRef>
          </c:xVal>
          <c:yVal>
            <c:numRef>
              <c:f>tiptop4!$G$85:$J$85</c:f>
              <c:numCache/>
            </c:numRef>
          </c:yVal>
          <c:smooth val="1"/>
        </c:ser>
        <c:axId val="48384143"/>
        <c:axId val="32804104"/>
      </c:scatterChart>
      <c:valAx>
        <c:axId val="48384143"/>
        <c:scaling>
          <c:orientation val="minMax"/>
          <c:max val="0.22"/>
          <c:min val="0.05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2804104"/>
        <c:crosses val="autoZero"/>
        <c:crossBetween val="midCat"/>
        <c:dispUnits/>
        <c:majorUnit val="0.05"/>
        <c:minorUnit val="0.01"/>
      </c:valAx>
      <c:valAx>
        <c:axId val="32804104"/>
        <c:scaling>
          <c:orientation val="minMax"/>
          <c:max val="95"/>
          <c:min val="90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8384143"/>
        <c:crossesAt val="0"/>
        <c:crossBetween val="midCat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625"/>
          <c:w val="0.97825"/>
          <c:h val="0.966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tiptop4!$G$68:$J$68</c:f>
              <c:numCache/>
            </c:numRef>
          </c:xVal>
          <c:yVal>
            <c:numRef>
              <c:f>tiptop4!$G$81:$J$81</c:f>
              <c:numCache/>
            </c:numRef>
          </c:yVal>
          <c:smooth val="1"/>
        </c:ser>
        <c:axId val="26801481"/>
        <c:axId val="39886738"/>
      </c:scatterChart>
      <c:valAx>
        <c:axId val="26801481"/>
        <c:scaling>
          <c:orientation val="minMax"/>
          <c:max val="0.22"/>
          <c:min val="0.05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9886738"/>
        <c:crosses val="autoZero"/>
        <c:crossBetween val="midCat"/>
        <c:dispUnits/>
        <c:majorUnit val="0.05"/>
        <c:minorUnit val="0.01"/>
      </c:valAx>
      <c:valAx>
        <c:axId val="39886738"/>
        <c:scaling>
          <c:orientation val="minMax"/>
          <c:max val="10"/>
          <c:min val="2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6801481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3225"/>
          <c:w val="0.97875"/>
          <c:h val="0.95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linear"/>
            <c:dispEq val="0"/>
            <c:dispRSqr val="0"/>
          </c:trendline>
          <c:xVal>
            <c:numRef>
              <c:f>tiptop4!$G$68:$J$68</c:f>
              <c:numCache/>
            </c:numRef>
          </c:xVal>
          <c:yVal>
            <c:numRef>
              <c:f>tiptop4!$G$69:$J$69</c:f>
              <c:numCache/>
            </c:numRef>
          </c:yVal>
          <c:smooth val="0"/>
        </c:ser>
        <c:axId val="23436323"/>
        <c:axId val="9600316"/>
      </c:scatterChart>
      <c:valAx>
        <c:axId val="23436323"/>
        <c:scaling>
          <c:orientation val="minMax"/>
          <c:max val="0.22"/>
          <c:min val="0.05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9600316"/>
        <c:crosses val="autoZero"/>
        <c:crossBetween val="midCat"/>
        <c:dispUnits/>
        <c:majorUnit val="0.05"/>
        <c:minorUnit val="0.01"/>
      </c:valAx>
      <c:valAx>
        <c:axId val="9600316"/>
        <c:scaling>
          <c:orientation val="minMax"/>
          <c:max val="40"/>
          <c:min val="0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3436323"/>
        <c:crossesAt val="0"/>
        <c:crossBetween val="midCat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345"/>
          <c:w val="0.9745"/>
          <c:h val="0.93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poly"/>
            <c:order val="2"/>
            <c:dispEq val="0"/>
            <c:dispRSqr val="0"/>
          </c:trendline>
          <c:xVal>
            <c:numRef>
              <c:f>tiptop4!$G$68:$J$68</c:f>
              <c:numCache/>
            </c:numRef>
          </c:xVal>
          <c:yVal>
            <c:numRef>
              <c:f>tiptop4!$G$70:$J$70</c:f>
              <c:numCache/>
            </c:numRef>
          </c:yVal>
          <c:smooth val="0"/>
        </c:ser>
        <c:axId val="19293981"/>
        <c:axId val="39428102"/>
      </c:scatterChart>
      <c:valAx>
        <c:axId val="19293981"/>
        <c:scaling>
          <c:orientation val="minMax"/>
          <c:max val="6.5"/>
          <c:min val="2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9428102"/>
        <c:crosses val="autoZero"/>
        <c:crossBetween val="midCat"/>
        <c:dispUnits/>
        <c:majorUnit val="0.5"/>
        <c:minorUnit val="0.5"/>
      </c:valAx>
      <c:valAx>
        <c:axId val="39428102"/>
        <c:scaling>
          <c:orientation val="minMax"/>
          <c:max val="12"/>
          <c:min val="2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9293981"/>
        <c:crossesAt val="0.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17"/>
          <c:w val="0.98"/>
          <c:h val="0.9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linear"/>
            <c:dispEq val="0"/>
            <c:dispRSqr val="0"/>
          </c:trendline>
          <c:xVal>
            <c:numRef>
              <c:f>tiptop4!$G$68:$J$68</c:f>
              <c:numCache/>
            </c:numRef>
          </c:xVal>
          <c:yVal>
            <c:numRef>
              <c:f>tiptop4!$G$71:$J$71</c:f>
              <c:numCache/>
            </c:numRef>
          </c:yVal>
          <c:smooth val="0"/>
        </c:ser>
        <c:axId val="19308599"/>
        <c:axId val="39559664"/>
      </c:scatterChart>
      <c:valAx>
        <c:axId val="19308599"/>
        <c:scaling>
          <c:orientation val="minMax"/>
          <c:max val="6.5"/>
          <c:min val="2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9559664"/>
        <c:crosses val="autoZero"/>
        <c:crossBetween val="midCat"/>
        <c:dispUnits/>
        <c:majorUnit val="0.5"/>
        <c:minorUnit val="0.5"/>
      </c:valAx>
      <c:valAx>
        <c:axId val="39559664"/>
        <c:scaling>
          <c:orientation val="minMax"/>
          <c:max val="30"/>
          <c:min val="0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9308599"/>
        <c:crosses val="autoZero"/>
        <c:crossBetween val="midCat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65"/>
          <c:w val="0.9795"/>
          <c:h val="0.95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power"/>
            <c:dispEq val="0"/>
            <c:dispRSqr val="0"/>
          </c:trendline>
          <c:xVal>
            <c:numRef>
              <c:f>tiptop4!$G$68:$J$68</c:f>
              <c:numCache/>
            </c:numRef>
          </c:xVal>
          <c:yVal>
            <c:numRef>
              <c:f>tiptop4!$G$72:$J$72</c:f>
              <c:numCache/>
            </c:numRef>
          </c:yVal>
          <c:smooth val="0"/>
        </c:ser>
        <c:axId val="20492657"/>
        <c:axId val="50216186"/>
      </c:scatterChart>
      <c:valAx>
        <c:axId val="20492657"/>
        <c:scaling>
          <c:orientation val="minMax"/>
          <c:max val="6.5"/>
          <c:min val="2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0216186"/>
        <c:crosses val="autoZero"/>
        <c:crossBetween val="midCat"/>
        <c:dispUnits/>
        <c:majorUnit val="0.5"/>
        <c:minorUnit val="0.5"/>
      </c:valAx>
      <c:valAx>
        <c:axId val="50216186"/>
        <c:scaling>
          <c:orientation val="minMax"/>
          <c:max val="5"/>
          <c:min val="0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0492657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135"/>
          <c:w val="0.98525"/>
          <c:h val="0.97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poly"/>
            <c:order val="2"/>
            <c:dispEq val="0"/>
            <c:dispRSqr val="0"/>
          </c:trendline>
          <c:xVal>
            <c:numRef>
              <c:f>tiptop4!$G$68:$J$68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tiptop4!$G$79:$J$79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49292491"/>
        <c:axId val="40979236"/>
      </c:scatterChart>
      <c:valAx>
        <c:axId val="49292491"/>
        <c:scaling>
          <c:orientation val="minMax"/>
          <c:max val="0.22"/>
          <c:min val="0.05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0979236"/>
        <c:crosses val="autoZero"/>
        <c:crossBetween val="midCat"/>
        <c:dispUnits/>
        <c:majorUnit val="0.05"/>
        <c:minorUnit val="0.01"/>
      </c:valAx>
      <c:valAx>
        <c:axId val="40979236"/>
        <c:scaling>
          <c:orientation val="minMax"/>
          <c:max val="11"/>
          <c:min val="9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9292491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095"/>
          <c:w val="0.99375"/>
          <c:h val="0.9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power"/>
            <c:dispEq val="0"/>
            <c:dispRSqr val="0"/>
          </c:trendline>
          <c:xVal>
            <c:numRef>
              <c:f>tiptop4!$G$68:$J$68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tiptop4!$G$80:$J$80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33268805"/>
        <c:axId val="30983790"/>
      </c:scatterChart>
      <c:valAx>
        <c:axId val="33268805"/>
        <c:scaling>
          <c:orientation val="minMax"/>
          <c:max val="0.22"/>
          <c:min val="0.05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0983790"/>
        <c:crossesAt val="0"/>
        <c:crossBetween val="midCat"/>
        <c:dispUnits/>
        <c:majorUnit val="0.05"/>
        <c:minorUnit val="0.01"/>
      </c:valAx>
      <c:valAx>
        <c:axId val="30983790"/>
        <c:scaling>
          <c:orientation val="minMax"/>
          <c:max val="1.3"/>
          <c:min val="1.1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3268805"/>
        <c:crossesAt val="0"/>
        <c:crossBetween val="midCat"/>
        <c:dispUnits/>
        <c:majorUnit val="0.1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poly"/>
            <c:order val="2"/>
            <c:dispEq val="0"/>
            <c:dispRSqr val="0"/>
          </c:trendline>
          <c:xVal>
            <c:numRef>
              <c:f>tiptop4!$G$68:$J$68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tiptop4!$G$75:$J$75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10418655"/>
        <c:axId val="26659032"/>
      </c:scatterChart>
      <c:valAx>
        <c:axId val="10418655"/>
        <c:scaling>
          <c:orientation val="minMax"/>
          <c:max val="0.22"/>
          <c:min val="0.05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6659032"/>
        <c:crosses val="autoZero"/>
        <c:crossBetween val="midCat"/>
        <c:dispUnits/>
        <c:majorUnit val="0.05"/>
        <c:minorUnit val="0.01"/>
      </c:valAx>
      <c:valAx>
        <c:axId val="26659032"/>
        <c:scaling>
          <c:orientation val="minMax"/>
          <c:max val="200"/>
          <c:min val="100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0418655"/>
        <c:crossesAt val="0"/>
        <c:crossBetween val="midCat"/>
        <c:dispUnits/>
        <c:majorUnit val="5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6675"/>
          <c:w val="0.777"/>
          <c:h val="0.93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5"/>
            <c:dispEq val="0"/>
            <c:dispRSqr val="0"/>
          </c:trendline>
          <c:xVal>
            <c:numLit>
              <c:ptCount val="2"/>
              <c:pt idx="0">
                <c:v>7.7</c:v>
              </c:pt>
              <c:pt idx="1">
                <c:v>0</c:v>
              </c:pt>
            </c:numLit>
          </c:xVal>
          <c:yVal>
            <c:numLit>
              <c:ptCount val="2"/>
              <c:pt idx="0">
                <c:v>7.45</c:v>
              </c:pt>
              <c:pt idx="1">
                <c:v>7.45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7.6923</c:v>
              </c:pt>
              <c:pt idx="1">
                <c:v>7.7</c:v>
              </c:pt>
            </c:numLit>
          </c:xVal>
          <c:yVal>
            <c:numLit>
              <c:ptCount val="2"/>
              <c:pt idx="0">
                <c:v>7.45</c:v>
              </c:pt>
              <c:pt idx="1">
                <c:v>0</c:v>
              </c:pt>
            </c:numLit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800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0</c:v>
              </c:pt>
              <c:pt idx="1">
                <c:v>21</c:v>
              </c:pt>
            </c:numLit>
          </c:xVal>
          <c:yVal>
            <c:numLit>
              <c:ptCount val="2"/>
              <c:pt idx="0">
                <c:v>11.8</c:v>
              </c:pt>
              <c:pt idx="1">
                <c:v>0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1"/>
              <c:pt idx="0">
                <c:v>7.7</c:v>
              </c:pt>
            </c:numLit>
          </c:xVal>
          <c:yVal>
            <c:numLit>
              <c:ptCount val="1"/>
              <c:pt idx="0">
                <c:v>7.45</c:v>
              </c:pt>
            </c:numLit>
          </c:yVal>
          <c:smooth val="0"/>
        </c:ser>
        <c:axId val="38604697"/>
        <c:axId val="11897954"/>
      </c:scatterChart>
      <c:valAx>
        <c:axId val="38604697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Cyr"/>
                    <a:ea typeface="Arial Cyr"/>
                    <a:cs typeface="Arial Cyr"/>
                  </a:rPr>
                  <a:t>О2, %</a:t>
                </a:r>
              </a:p>
            </c:rich>
          </c:tx>
          <c:layout>
            <c:manualLayout>
              <c:xMode val="factor"/>
              <c:yMode val="factor"/>
              <c:x val="0.04"/>
              <c:y val="0.13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1897954"/>
        <c:crosses val="autoZero"/>
        <c:crossBetween val="midCat"/>
        <c:dispUnits/>
        <c:majorUnit val="1"/>
        <c:minorUnit val="0.5"/>
      </c:valAx>
      <c:valAx>
        <c:axId val="11897954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Cyr"/>
                    <a:ea typeface="Arial Cyr"/>
                    <a:cs typeface="Arial Cyr"/>
                  </a:rPr>
                  <a:t>CO2, %</a:t>
                </a:r>
              </a:p>
            </c:rich>
          </c:tx>
          <c:layout>
            <c:manualLayout>
              <c:xMode val="factor"/>
              <c:yMode val="factor"/>
              <c:x val="0.024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8604697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1"/>
          <c:w val="0.99325"/>
          <c:h val="0.97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poly"/>
            <c:order val="2"/>
            <c:dispEq val="0"/>
            <c:dispRSqr val="0"/>
          </c:trendline>
          <c:xVal>
            <c:numRef>
              <c:f>tiptop1!$G$68:$J$68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tiptop1!$G$80:$J$80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14688675"/>
        <c:axId val="65089212"/>
      </c:scatterChart>
      <c:valAx>
        <c:axId val="14688675"/>
        <c:scaling>
          <c:orientation val="minMax"/>
          <c:max val="2.6"/>
          <c:min val="0.5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65089212"/>
        <c:crosses val="autoZero"/>
        <c:crossBetween val="midCat"/>
        <c:dispUnits/>
        <c:majorUnit val="0.5"/>
        <c:minorUnit val="0.1"/>
      </c:valAx>
      <c:valAx>
        <c:axId val="65089212"/>
        <c:scaling>
          <c:orientation val="minMax"/>
          <c:max val="1.3"/>
          <c:min val="1.15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4688675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665"/>
          <c:w val="0.80625"/>
          <c:h val="0.93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5"/>
            <c:dispEq val="0"/>
            <c:dispRSqr val="0"/>
          </c:trendline>
          <c:xVal>
            <c:numLit>
              <c:ptCount val="2"/>
              <c:pt idx="0">
                <c:v>6.4</c:v>
              </c:pt>
              <c:pt idx="1">
                <c:v>0</c:v>
              </c:pt>
            </c:numLit>
          </c:xVal>
          <c:yVal>
            <c:numLit>
              <c:ptCount val="2"/>
              <c:pt idx="0">
                <c:v>8.19</c:v>
              </c:pt>
              <c:pt idx="1">
                <c:v>8.19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6.3936</c:v>
              </c:pt>
              <c:pt idx="1">
                <c:v>6.4</c:v>
              </c:pt>
            </c:numLit>
          </c:xVal>
          <c:yVal>
            <c:numLit>
              <c:ptCount val="2"/>
              <c:pt idx="0">
                <c:v>8.19</c:v>
              </c:pt>
              <c:pt idx="1">
                <c:v>0</c:v>
              </c:pt>
            </c:numLit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0</c:v>
              </c:pt>
              <c:pt idx="1">
                <c:v>21</c:v>
              </c:pt>
            </c:numLit>
          </c:xVal>
          <c:yVal>
            <c:numLit>
              <c:ptCount val="2"/>
              <c:pt idx="0">
                <c:v>11.8</c:v>
              </c:pt>
              <c:pt idx="1">
                <c:v>0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1"/>
              <c:pt idx="0">
                <c:v>6.4</c:v>
              </c:pt>
            </c:numLit>
          </c:xVal>
          <c:yVal>
            <c:numLit>
              <c:ptCount val="1"/>
              <c:pt idx="0">
                <c:v>8.19</c:v>
              </c:pt>
            </c:numLit>
          </c:yVal>
          <c:smooth val="0"/>
        </c:ser>
        <c:axId val="39972723"/>
        <c:axId val="24210188"/>
      </c:scatterChart>
      <c:valAx>
        <c:axId val="39972723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 Cyr"/>
                    <a:ea typeface="Arial Cyr"/>
                    <a:cs typeface="Arial Cyr"/>
                  </a:rPr>
                  <a:t>O2, %</a:t>
                </a:r>
              </a:p>
            </c:rich>
          </c:tx>
          <c:layout>
            <c:manualLayout>
              <c:xMode val="factor"/>
              <c:yMode val="factor"/>
              <c:x val="0.0297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4210188"/>
        <c:crosses val="autoZero"/>
        <c:crossBetween val="midCat"/>
        <c:dispUnits/>
        <c:majorUnit val="1"/>
        <c:minorUnit val="0.5"/>
      </c:valAx>
      <c:valAx>
        <c:axId val="24210188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 Cyr"/>
                    <a:ea typeface="Arial Cyr"/>
                    <a:cs typeface="Arial Cyr"/>
                  </a:rPr>
                  <a:t>CO2, %</a:t>
                </a:r>
              </a:p>
            </c:rich>
          </c:tx>
          <c:layout>
            <c:manualLayout>
              <c:xMode val="factor"/>
              <c:yMode val="factor"/>
              <c:x val="0.0202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9972723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trendlineType val="poly"/>
            <c:order val="4"/>
            <c:dispEq val="0"/>
            <c:dispRSqr val="0"/>
          </c:trendline>
          <c:xVal>
            <c:numLit>
              <c:ptCount val="2"/>
              <c:pt idx="0">
                <c:v>5.5</c:v>
              </c:pt>
              <c:pt idx="1">
                <c:v>0</c:v>
              </c:pt>
            </c:numLit>
          </c:xVal>
          <c:yVal>
            <c:numLit>
              <c:ptCount val="2"/>
              <c:pt idx="0">
                <c:v>8.69</c:v>
              </c:pt>
              <c:pt idx="1">
                <c:v>8.69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trendlineType val="linear"/>
            <c:dispEq val="0"/>
            <c:dispRSqr val="0"/>
          </c:trendline>
          <c:xVal>
            <c:numLit>
              <c:ptCount val="2"/>
              <c:pt idx="0">
                <c:v>5.4945</c:v>
              </c:pt>
              <c:pt idx="1">
                <c:v>5.5</c:v>
              </c:pt>
            </c:numLit>
          </c:xVal>
          <c:yVal>
            <c:numLit>
              <c:ptCount val="2"/>
              <c:pt idx="0">
                <c:v>8.69</c:v>
              </c:pt>
              <c:pt idx="1">
                <c:v>0</c:v>
              </c:pt>
            </c:numLit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8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0</c:v>
              </c:pt>
              <c:pt idx="1">
                <c:v>21</c:v>
              </c:pt>
            </c:numLit>
          </c:xVal>
          <c:yVal>
            <c:numLit>
              <c:ptCount val="2"/>
              <c:pt idx="0">
                <c:v>11.8</c:v>
              </c:pt>
              <c:pt idx="1">
                <c:v>0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1"/>
              <c:pt idx="0">
                <c:v>5.5</c:v>
              </c:pt>
            </c:numLit>
          </c:xVal>
          <c:yVal>
            <c:numLit>
              <c:ptCount val="1"/>
              <c:pt idx="0">
                <c:v>8.69</c:v>
              </c:pt>
            </c:numLit>
          </c:yVal>
          <c:smooth val="0"/>
        </c:ser>
        <c:axId val="16565101"/>
        <c:axId val="14868182"/>
      </c:scatterChart>
      <c:valAx>
        <c:axId val="16565101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Cyr"/>
                    <a:ea typeface="Arial Cyr"/>
                    <a:cs typeface="Arial Cyr"/>
                  </a:rPr>
                  <a:t>   
O2,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4868182"/>
        <c:crosses val="autoZero"/>
        <c:crossBetween val="midCat"/>
        <c:dispUnits/>
        <c:majorUnit val="1"/>
        <c:minorUnit val="0.5"/>
      </c:valAx>
      <c:valAx>
        <c:axId val="14868182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Cyr"/>
                    <a:ea typeface="Arial Cyr"/>
                    <a:cs typeface="Arial Cyr"/>
                  </a:rPr>
                  <a:t>CO2,%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6565101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tiptop4!$G$70:$J$70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tiptop4!$G$71:$J$71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66704775"/>
        <c:axId val="63472064"/>
      </c:scatterChart>
      <c:valAx>
        <c:axId val="66704775"/>
        <c:scaling>
          <c:orientation val="minMax"/>
          <c:max val="12"/>
          <c:min val="0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63472064"/>
        <c:crosses val="autoZero"/>
        <c:crossBetween val="midCat"/>
        <c:dispUnits/>
        <c:majorUnit val="1"/>
        <c:minorUnit val="0.5"/>
      </c:valAx>
      <c:valAx>
        <c:axId val="63472064"/>
        <c:scaling>
          <c:orientation val="minMax"/>
          <c:max val="35"/>
          <c:min val="0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66704775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.0475"/>
          <c:w val="0.89225"/>
          <c:h val="0.9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tiptop4!$AU$78:$AV$78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tiptop4!$AU$77:$AV$77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tiptop4!$AU$79:$AV$79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tiptop4!$AU$80:$AV$80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8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tiptop4!$AW$66:$AX$66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tiptop4!$AW$65:$AX$65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tiptop4!$AU$78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tiptop4!$AU$77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34377665"/>
        <c:axId val="40963530"/>
      </c:scatterChart>
      <c:valAx>
        <c:axId val="34377665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О2, %</a:t>
                </a:r>
              </a:p>
            </c:rich>
          </c:tx>
          <c:layout>
            <c:manualLayout>
              <c:xMode val="factor"/>
              <c:yMode val="factor"/>
              <c:x val="0.025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0963530"/>
        <c:crosses val="autoZero"/>
        <c:crossBetween val="midCat"/>
        <c:dispUnits/>
        <c:majorUnit val="1"/>
        <c:minorUnit val="0.5"/>
      </c:valAx>
      <c:valAx>
        <c:axId val="40963530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CO2, %</a:t>
                </a:r>
              </a:p>
            </c:rich>
          </c:tx>
          <c:layout>
            <c:manualLayout>
              <c:xMode val="factor"/>
              <c:yMode val="factor"/>
              <c:x val="0.024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4377665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475"/>
          <c:w val="0.92825"/>
          <c:h val="0.9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tiptop4!$AU$66:$AV$66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tiptop4!$AU$65:$AV$65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tiptop4!$AU$67:$AV$67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tiptop4!$AU$68:$AV$68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tiptop4!$AW$66:$AX$66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tiptop4!$AW$65:$AX$65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tiptop4!$AU$66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tiptop4!$AU$65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33127451"/>
        <c:axId val="29711604"/>
      </c:scatterChart>
      <c:valAx>
        <c:axId val="33127451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О2, %</a:t>
                </a:r>
              </a:p>
            </c:rich>
          </c:tx>
          <c:layout>
            <c:manualLayout>
              <c:xMode val="factor"/>
              <c:yMode val="factor"/>
              <c:x val="0.023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9711604"/>
        <c:crosses val="autoZero"/>
        <c:crossBetween val="midCat"/>
        <c:dispUnits/>
        <c:majorUnit val="1"/>
        <c:minorUnit val="0.5"/>
      </c:valAx>
      <c:valAx>
        <c:axId val="29711604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CO2, %</a:t>
                </a:r>
              </a:p>
            </c:rich>
          </c:tx>
          <c:layout>
            <c:manualLayout>
              <c:xMode val="factor"/>
              <c:yMode val="factor"/>
              <c:x val="0.024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3127451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72"/>
          <c:w val="0.9245"/>
          <c:h val="0.92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tiptop4!$AU$78:$AV$78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tiptop4!$AU$77:$AV$77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tiptop4!$AU$79:$AV$79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tiptop4!$AU$80:$AV$80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8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tiptop4!$AW$66:$AX$66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tiptop4!$AW$65:$AX$65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tiptop4!$AU$78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tiptop4!$AU$77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66077845"/>
        <c:axId val="57829694"/>
      </c:scatterChart>
      <c:valAx>
        <c:axId val="66077845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О</a:t>
                </a:r>
                <a:r>
                  <a:rPr lang="en-US" cap="none" sz="950" b="1" i="0" u="none" baseline="-25000">
                    <a:latin typeface="Arial Cyr"/>
                    <a:ea typeface="Arial Cyr"/>
                    <a:cs typeface="Arial Cyr"/>
                  </a:rPr>
                  <a:t>2</a:t>
                </a: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 , %</a:t>
                </a:r>
              </a:p>
            </c:rich>
          </c:tx>
          <c:layout>
            <c:manualLayout>
              <c:xMode val="factor"/>
              <c:yMode val="factor"/>
              <c:x val="0.041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7829694"/>
        <c:crosses val="autoZero"/>
        <c:crossBetween val="midCat"/>
        <c:dispUnits/>
        <c:majorUnit val="1"/>
        <c:minorUnit val="0.5"/>
      </c:valAx>
      <c:valAx>
        <c:axId val="57829694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CO</a:t>
                </a:r>
                <a:r>
                  <a:rPr lang="en-US" cap="none" sz="950" b="1" i="0" u="none" baseline="-25000">
                    <a:latin typeface="Arial Cyr"/>
                    <a:ea typeface="Arial Cyr"/>
                    <a:cs typeface="Arial Cyr"/>
                  </a:rPr>
                  <a:t>2</a:t>
                </a: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 , %</a:t>
                </a:r>
              </a:p>
            </c:rich>
          </c:tx>
          <c:layout>
            <c:manualLayout>
              <c:xMode val="factor"/>
              <c:yMode val="factor"/>
              <c:x val="0.019"/>
              <c:y val="0.16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66077845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05"/>
          <c:w val="0.948"/>
          <c:h val="0.92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tiptop4!$AU$74:$AV$74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tiptop4!$AU$73:$AV$73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tiptop4!$AU$75:$AV$75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tiptop4!$AU$76:$AV$76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tiptop4!$AW$66:$AX$66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tiptop4!$AW$65:$AX$65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tiptop4!$AU$74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tiptop4!$AU$73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50705199"/>
        <c:axId val="53693608"/>
      </c:scatterChart>
      <c:valAx>
        <c:axId val="50705199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О</a:t>
                </a:r>
                <a:r>
                  <a:rPr lang="en-US" cap="none" sz="950" b="1" i="0" u="none" baseline="-25000">
                    <a:latin typeface="Arial Cyr"/>
                    <a:ea typeface="Arial Cyr"/>
                    <a:cs typeface="Arial Cyr"/>
                  </a:rPr>
                  <a:t>2</a:t>
                </a: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 , %</a:t>
                </a:r>
              </a:p>
            </c:rich>
          </c:tx>
          <c:layout>
            <c:manualLayout>
              <c:xMode val="factor"/>
              <c:yMode val="factor"/>
              <c:x val="0.044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3693608"/>
        <c:crosses val="autoZero"/>
        <c:crossBetween val="midCat"/>
        <c:dispUnits/>
        <c:majorUnit val="1"/>
        <c:minorUnit val="0.5"/>
      </c:valAx>
      <c:valAx>
        <c:axId val="53693608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CO</a:t>
                </a:r>
                <a:r>
                  <a:rPr lang="en-US" cap="none" sz="950" b="1" i="0" u="none" baseline="-25000">
                    <a:latin typeface="Arial Cyr"/>
                    <a:ea typeface="Arial Cyr"/>
                    <a:cs typeface="Arial Cyr"/>
                  </a:rPr>
                  <a:t>2</a:t>
                </a: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 , %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0705199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6675"/>
          <c:w val="0.933"/>
          <c:h val="0.93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trendlineType val="linear"/>
            <c:dispEq val="0"/>
            <c:dispRSqr val="0"/>
          </c:trendline>
          <c:xVal>
            <c:numRef>
              <c:f>tiptop4!$AU$70:$AV$70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tiptop4!$AU$69:$AV$69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tiptop4!$AU$71:$AV$71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tiptop4!$AU$72:$AV$72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8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tiptop4!$AW$66:$AX$66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tiptop4!$AW$65:$AX$65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tiptop4!$AU$70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tiptop4!$AU$69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13480425"/>
        <c:axId val="54214962"/>
      </c:scatterChart>
      <c:valAx>
        <c:axId val="13480425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О</a:t>
                </a:r>
                <a:r>
                  <a:rPr lang="en-US" cap="none" sz="950" b="1" i="0" u="none" baseline="-25000">
                    <a:latin typeface="Arial Cyr"/>
                    <a:ea typeface="Arial Cyr"/>
                    <a:cs typeface="Arial Cyr"/>
                  </a:rPr>
                  <a:t>2</a:t>
                </a: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 , %</a:t>
                </a:r>
              </a:p>
            </c:rich>
          </c:tx>
          <c:layout>
            <c:manualLayout>
              <c:xMode val="factor"/>
              <c:yMode val="factor"/>
              <c:x val="0.041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4214962"/>
        <c:crosses val="autoZero"/>
        <c:crossBetween val="midCat"/>
        <c:dispUnits/>
        <c:majorUnit val="1"/>
        <c:minorUnit val="0.5"/>
      </c:valAx>
      <c:valAx>
        <c:axId val="54214962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CO</a:t>
                </a:r>
                <a:r>
                  <a:rPr lang="en-US" cap="none" sz="950" b="1" i="0" u="none" baseline="-25000">
                    <a:latin typeface="Arial Cyr"/>
                    <a:ea typeface="Arial Cyr"/>
                    <a:cs typeface="Arial Cyr"/>
                  </a:rPr>
                  <a:t>2 </a:t>
                </a: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, %</a:t>
                </a:r>
              </a:p>
            </c:rich>
          </c:tx>
          <c:layout>
            <c:manualLayout>
              <c:xMode val="factor"/>
              <c:yMode val="factor"/>
              <c:x val="0.023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3480425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6125"/>
          <c:w val="0.93925"/>
          <c:h val="0.93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trendlineType val="linear"/>
            <c:dispEq val="0"/>
            <c:dispRSqr val="0"/>
          </c:trendline>
          <c:xVal>
            <c:numRef>
              <c:f>tiptop4!$AU$66:$AV$66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tiptop4!$AU$65:$AV$65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tiptop4!$AU$67:$AV$67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tiptop4!$AU$68:$AV$68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tiptop4!$AW$66:$AX$66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tiptop4!$AW$65:$AX$65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tiptop4!$AU$66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tiptop4!$AU$65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18172611"/>
        <c:axId val="29335772"/>
      </c:scatterChart>
      <c:valAx>
        <c:axId val="18172611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О</a:t>
                </a:r>
                <a:r>
                  <a:rPr lang="en-US" cap="none" sz="950" b="1" i="0" u="none" baseline="-25000">
                    <a:latin typeface="Arial Cyr"/>
                    <a:ea typeface="Arial Cyr"/>
                    <a:cs typeface="Arial Cyr"/>
                  </a:rPr>
                  <a:t>2</a:t>
                </a: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 , %</a:t>
                </a:r>
              </a:p>
            </c:rich>
          </c:tx>
          <c:layout>
            <c:manualLayout>
              <c:xMode val="factor"/>
              <c:yMode val="factor"/>
              <c:x val="0.041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9335772"/>
        <c:crosses val="autoZero"/>
        <c:crossBetween val="midCat"/>
        <c:dispUnits/>
        <c:majorUnit val="1"/>
        <c:minorUnit val="0.5"/>
      </c:valAx>
      <c:valAx>
        <c:axId val="29335772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CO</a:t>
                </a:r>
                <a:r>
                  <a:rPr lang="en-US" cap="none" sz="950" b="1" i="0" u="none" baseline="-25000">
                    <a:latin typeface="Arial Cyr"/>
                    <a:ea typeface="Arial Cyr"/>
                    <a:cs typeface="Arial Cyr"/>
                  </a:rPr>
                  <a:t>2</a:t>
                </a: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 , %</a:t>
                </a:r>
              </a:p>
            </c:rich>
          </c:tx>
          <c:layout>
            <c:manualLayout>
              <c:xMode val="factor"/>
              <c:yMode val="factor"/>
              <c:x val="0.023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8172611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poly"/>
            <c:order val="2"/>
            <c:dispEq val="0"/>
            <c:dispRSqr val="0"/>
          </c:trendline>
          <c:xVal>
            <c:numRef>
              <c:f>tiptop1!$G$68:$J$68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tiptop1!$G$75:$J$75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48931997"/>
        <c:axId val="37734790"/>
      </c:scatterChart>
      <c:valAx>
        <c:axId val="48931997"/>
        <c:scaling>
          <c:orientation val="minMax"/>
          <c:max val="2.6"/>
          <c:min val="0.5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7734790"/>
        <c:crosses val="autoZero"/>
        <c:crossBetween val="midCat"/>
        <c:dispUnits/>
        <c:majorUnit val="0.5"/>
        <c:minorUnit val="0.1"/>
      </c:valAx>
      <c:valAx>
        <c:axId val="37734790"/>
        <c:scaling>
          <c:orientation val="minMax"/>
          <c:max val="210"/>
          <c:min val="110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8931997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Relationship Id="rId14" Type="http://schemas.openxmlformats.org/officeDocument/2006/relationships/chart" Target="/xl/charts/chart33.xml" /><Relationship Id="rId15" Type="http://schemas.openxmlformats.org/officeDocument/2006/relationships/chart" Target="/xl/charts/chart34.xml" /><Relationship Id="rId16" Type="http://schemas.openxmlformats.org/officeDocument/2006/relationships/chart" Target="/xl/charts/chart35.xml" /><Relationship Id="rId17" Type="http://schemas.openxmlformats.org/officeDocument/2006/relationships/chart" Target="/xl/charts/chart36.xml" /><Relationship Id="rId18" Type="http://schemas.openxmlformats.org/officeDocument/2006/relationships/chart" Target="/xl/charts/chart37.xml" /><Relationship Id="rId19" Type="http://schemas.openxmlformats.org/officeDocument/2006/relationships/chart" Target="/xl/charts/chart38.xml" /><Relationship Id="rId20" Type="http://schemas.openxmlformats.org/officeDocument/2006/relationships/chart" Target="/xl/charts/chart39.xml" /><Relationship Id="rId21" Type="http://schemas.openxmlformats.org/officeDocument/2006/relationships/chart" Target="/xl/charts/chart40.xml" /><Relationship Id="rId22" Type="http://schemas.openxmlformats.org/officeDocument/2006/relationships/chart" Target="/xl/charts/chart41.xml" /><Relationship Id="rId23" Type="http://schemas.openxmlformats.org/officeDocument/2006/relationships/chart" Target="/xl/charts/chart4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Relationship Id="rId3" Type="http://schemas.openxmlformats.org/officeDocument/2006/relationships/chart" Target="/xl/charts/chart45.xml" /><Relationship Id="rId4" Type="http://schemas.openxmlformats.org/officeDocument/2006/relationships/chart" Target="/xl/charts/chart46.xml" /><Relationship Id="rId5" Type="http://schemas.openxmlformats.org/officeDocument/2006/relationships/chart" Target="/xl/charts/chart47.xml" /><Relationship Id="rId6" Type="http://schemas.openxmlformats.org/officeDocument/2006/relationships/chart" Target="/xl/charts/chart48.xml" /><Relationship Id="rId7" Type="http://schemas.openxmlformats.org/officeDocument/2006/relationships/chart" Target="/xl/charts/chart49.xml" /><Relationship Id="rId8" Type="http://schemas.openxmlformats.org/officeDocument/2006/relationships/chart" Target="/xl/charts/chart50.xml" /><Relationship Id="rId9" Type="http://schemas.openxmlformats.org/officeDocument/2006/relationships/chart" Target="/xl/charts/chart51.xml" /><Relationship Id="rId10" Type="http://schemas.openxmlformats.org/officeDocument/2006/relationships/chart" Target="/xl/charts/chart52.xml" /><Relationship Id="rId11" Type="http://schemas.openxmlformats.org/officeDocument/2006/relationships/chart" Target="/xl/charts/chart53.xml" /><Relationship Id="rId12" Type="http://schemas.openxmlformats.org/officeDocument/2006/relationships/chart" Target="/xl/charts/chart54.xml" /><Relationship Id="rId13" Type="http://schemas.openxmlformats.org/officeDocument/2006/relationships/chart" Target="/xl/charts/chart55.xml" /><Relationship Id="rId14" Type="http://schemas.openxmlformats.org/officeDocument/2006/relationships/chart" Target="/xl/charts/chart56.xml" /><Relationship Id="rId15" Type="http://schemas.openxmlformats.org/officeDocument/2006/relationships/chart" Target="/xl/charts/chart57.xml" /><Relationship Id="rId16" Type="http://schemas.openxmlformats.org/officeDocument/2006/relationships/chart" Target="/xl/charts/chart58.xml" /><Relationship Id="rId17" Type="http://schemas.openxmlformats.org/officeDocument/2006/relationships/chart" Target="/xl/charts/chart59.xml" /><Relationship Id="rId18" Type="http://schemas.openxmlformats.org/officeDocument/2006/relationships/chart" Target="/xl/charts/chart60.xml" /><Relationship Id="rId19" Type="http://schemas.openxmlformats.org/officeDocument/2006/relationships/chart" Target="/xl/charts/chart61.xml" /><Relationship Id="rId20" Type="http://schemas.openxmlformats.org/officeDocument/2006/relationships/chart" Target="/xl/charts/chart62.xml" /><Relationship Id="rId21" Type="http://schemas.openxmlformats.org/officeDocument/2006/relationships/chart" Target="/xl/charts/chart63.xml" /><Relationship Id="rId22" Type="http://schemas.openxmlformats.org/officeDocument/2006/relationships/chart" Target="/xl/charts/chart64.xml" /><Relationship Id="rId23" Type="http://schemas.openxmlformats.org/officeDocument/2006/relationships/chart" Target="/xl/charts/chart65.xml" /><Relationship Id="rId24" Type="http://schemas.openxmlformats.org/officeDocument/2006/relationships/chart" Target="/xl/charts/chart6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7.xml" /><Relationship Id="rId2" Type="http://schemas.openxmlformats.org/officeDocument/2006/relationships/chart" Target="/xl/charts/chart68.xml" /><Relationship Id="rId3" Type="http://schemas.openxmlformats.org/officeDocument/2006/relationships/chart" Target="/xl/charts/chart69.xml" /><Relationship Id="rId4" Type="http://schemas.openxmlformats.org/officeDocument/2006/relationships/chart" Target="/xl/charts/chart70.xml" /><Relationship Id="rId5" Type="http://schemas.openxmlformats.org/officeDocument/2006/relationships/chart" Target="/xl/charts/chart71.xml" /><Relationship Id="rId6" Type="http://schemas.openxmlformats.org/officeDocument/2006/relationships/chart" Target="/xl/charts/chart72.xml" /><Relationship Id="rId7" Type="http://schemas.openxmlformats.org/officeDocument/2006/relationships/chart" Target="/xl/charts/chart73.xml" /><Relationship Id="rId8" Type="http://schemas.openxmlformats.org/officeDocument/2006/relationships/chart" Target="/xl/charts/chart74.xml" /><Relationship Id="rId9" Type="http://schemas.openxmlformats.org/officeDocument/2006/relationships/chart" Target="/xl/charts/chart75.xml" /><Relationship Id="rId10" Type="http://schemas.openxmlformats.org/officeDocument/2006/relationships/chart" Target="/xl/charts/chart76.xml" /><Relationship Id="rId11" Type="http://schemas.openxmlformats.org/officeDocument/2006/relationships/chart" Target="/xl/charts/chart77.xml" /><Relationship Id="rId12" Type="http://schemas.openxmlformats.org/officeDocument/2006/relationships/chart" Target="/xl/charts/chart78.xml" /><Relationship Id="rId13" Type="http://schemas.openxmlformats.org/officeDocument/2006/relationships/chart" Target="/xl/charts/chart79.xml" /><Relationship Id="rId14" Type="http://schemas.openxmlformats.org/officeDocument/2006/relationships/chart" Target="/xl/charts/chart80.xml" /><Relationship Id="rId15" Type="http://schemas.openxmlformats.org/officeDocument/2006/relationships/chart" Target="/xl/charts/chart81.xml" /><Relationship Id="rId16" Type="http://schemas.openxmlformats.org/officeDocument/2006/relationships/chart" Target="/xl/charts/chart82.xml" /><Relationship Id="rId17" Type="http://schemas.openxmlformats.org/officeDocument/2006/relationships/chart" Target="/xl/charts/chart83.xml" /><Relationship Id="rId18" Type="http://schemas.openxmlformats.org/officeDocument/2006/relationships/chart" Target="/xl/charts/chart84.xml" /><Relationship Id="rId19" Type="http://schemas.openxmlformats.org/officeDocument/2006/relationships/chart" Target="/xl/charts/chart85.xml" /><Relationship Id="rId20" Type="http://schemas.openxmlformats.org/officeDocument/2006/relationships/chart" Target="/xl/charts/chart86.xml" /><Relationship Id="rId21" Type="http://schemas.openxmlformats.org/officeDocument/2006/relationships/chart" Target="/xl/charts/chart87.xml" /><Relationship Id="rId22" Type="http://schemas.openxmlformats.org/officeDocument/2006/relationships/chart" Target="/xl/charts/chart8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66675</xdr:rowOff>
    </xdr:from>
    <xdr:ext cx="7277100" cy="10544175"/>
    <xdr:sp>
      <xdr:nvSpPr>
        <xdr:cNvPr id="1" name="Rectangle 1"/>
        <xdr:cNvSpPr>
          <a:spLocks/>
        </xdr:cNvSpPr>
      </xdr:nvSpPr>
      <xdr:spPr>
        <a:xfrm>
          <a:off x="0" y="228600"/>
          <a:ext cx="7277100" cy="1054417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18</xdr:row>
      <xdr:rowOff>0</xdr:rowOff>
    </xdr:from>
    <xdr:to>
      <xdr:col>9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>
          <a:off x="3590925" y="3333750"/>
          <a:ext cx="4381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10</xdr:col>
      <xdr:colOff>0</xdr:colOff>
      <xdr:row>26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029075" y="3333750"/>
          <a:ext cx="44767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9525</xdr:colOff>
      <xdr:row>18</xdr:row>
      <xdr:rowOff>0</xdr:rowOff>
    </xdr:from>
    <xdr:to>
      <xdr:col>11</xdr:col>
      <xdr:colOff>0</xdr:colOff>
      <xdr:row>26</xdr:row>
      <xdr:rowOff>0</xdr:rowOff>
    </xdr:to>
    <xdr:sp>
      <xdr:nvSpPr>
        <xdr:cNvPr id="3" name="Line 3"/>
        <xdr:cNvSpPr>
          <a:spLocks/>
        </xdr:cNvSpPr>
      </xdr:nvSpPr>
      <xdr:spPr>
        <a:xfrm>
          <a:off x="4486275" y="3333750"/>
          <a:ext cx="4381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12</xdr:col>
      <xdr:colOff>0</xdr:colOff>
      <xdr:row>26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924425" y="3333750"/>
          <a:ext cx="44767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9525</xdr:colOff>
      <xdr:row>18</xdr:row>
      <xdr:rowOff>0</xdr:rowOff>
    </xdr:from>
    <xdr:to>
      <xdr:col>13</xdr:col>
      <xdr:colOff>0</xdr:colOff>
      <xdr:row>26</xdr:row>
      <xdr:rowOff>0</xdr:rowOff>
    </xdr:to>
    <xdr:sp>
      <xdr:nvSpPr>
        <xdr:cNvPr id="5" name="Line 5"/>
        <xdr:cNvSpPr>
          <a:spLocks/>
        </xdr:cNvSpPr>
      </xdr:nvSpPr>
      <xdr:spPr>
        <a:xfrm>
          <a:off x="5381625" y="3333750"/>
          <a:ext cx="4381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0</xdr:rowOff>
    </xdr:from>
    <xdr:to>
      <xdr:col>14</xdr:col>
      <xdr:colOff>0</xdr:colOff>
      <xdr:row>26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5819775" y="3333750"/>
          <a:ext cx="44767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17</xdr:col>
      <xdr:colOff>447675</xdr:colOff>
      <xdr:row>13</xdr:row>
      <xdr:rowOff>28575</xdr:rowOff>
    </xdr:from>
    <xdr:ext cx="66675" cy="771525"/>
    <xdr:grpSp>
      <xdr:nvGrpSpPr>
        <xdr:cNvPr id="7" name="Group 7"/>
        <xdr:cNvGrpSpPr>
          <a:grpSpLocks/>
        </xdr:cNvGrpSpPr>
      </xdr:nvGrpSpPr>
      <xdr:grpSpPr>
        <a:xfrm>
          <a:off x="8058150" y="2438400"/>
          <a:ext cx="66675" cy="771525"/>
          <a:chOff x="777" y="266"/>
          <a:chExt cx="6" cy="81"/>
        </a:xfrm>
        <a:solidFill>
          <a:srgbClr val="FFFFFF"/>
        </a:solidFill>
      </xdr:grpSpPr>
      <xdr:sp>
        <xdr:nvSpPr>
          <xdr:cNvPr id="8" name="AutoShape 8"/>
          <xdr:cNvSpPr>
            <a:spLocks/>
          </xdr:cNvSpPr>
        </xdr:nvSpPr>
        <xdr:spPr>
          <a:xfrm flipV="1">
            <a:off x="777" y="341"/>
            <a:ext cx="6" cy="6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780" y="266"/>
            <a:ext cx="0" cy="7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4</xdr:col>
      <xdr:colOff>161925</xdr:colOff>
      <xdr:row>13</xdr:row>
      <xdr:rowOff>28575</xdr:rowOff>
    </xdr:from>
    <xdr:ext cx="581025" cy="504825"/>
    <xdr:sp>
      <xdr:nvSpPr>
        <xdr:cNvPr id="10" name="Oval 10"/>
        <xdr:cNvSpPr>
          <a:spLocks/>
        </xdr:cNvSpPr>
      </xdr:nvSpPr>
      <xdr:spPr>
        <a:xfrm>
          <a:off x="1952625" y="2438400"/>
          <a:ext cx="581025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pI
5</a:t>
          </a:r>
        </a:p>
      </xdr:txBody>
    </xdr:sp>
    <xdr:clientData/>
  </xdr:oneCellAnchor>
  <xdr:oneCellAnchor>
    <xdr:from>
      <xdr:col>2</xdr:col>
      <xdr:colOff>161925</xdr:colOff>
      <xdr:row>21</xdr:row>
      <xdr:rowOff>104775</xdr:rowOff>
    </xdr:from>
    <xdr:ext cx="571500" cy="495300"/>
    <xdr:sp>
      <xdr:nvSpPr>
        <xdr:cNvPr id="11" name="Oval 11"/>
        <xdr:cNvSpPr>
          <a:spLocks/>
        </xdr:cNvSpPr>
      </xdr:nvSpPr>
      <xdr:spPr>
        <a:xfrm>
          <a:off x="1057275" y="3924300"/>
          <a:ext cx="571500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tI
3</a:t>
          </a:r>
        </a:p>
      </xdr:txBody>
    </xdr:sp>
    <xdr:clientData/>
  </xdr:oneCellAnchor>
  <xdr:oneCellAnchor>
    <xdr:from>
      <xdr:col>4</xdr:col>
      <xdr:colOff>76200</xdr:colOff>
      <xdr:row>24</xdr:row>
      <xdr:rowOff>85725</xdr:rowOff>
    </xdr:from>
    <xdr:ext cx="523875" cy="476250"/>
    <xdr:grpSp>
      <xdr:nvGrpSpPr>
        <xdr:cNvPr id="12" name="Group 13"/>
        <xdr:cNvGrpSpPr>
          <a:grpSpLocks/>
        </xdr:cNvGrpSpPr>
      </xdr:nvGrpSpPr>
      <xdr:grpSpPr>
        <a:xfrm>
          <a:off x="1866900" y="4552950"/>
          <a:ext cx="523875" cy="476250"/>
          <a:chOff x="168" y="458"/>
          <a:chExt cx="48" cy="49"/>
        </a:xfrm>
        <a:solidFill>
          <a:srgbClr val="FFFFFF"/>
        </a:solidFill>
      </xdr:grpSpPr>
      <xdr:sp>
        <xdr:nvSpPr>
          <xdr:cNvPr id="13" name="Oval 14"/>
          <xdr:cNvSpPr>
            <a:spLocks/>
          </xdr:cNvSpPr>
        </xdr:nvSpPr>
        <xdr:spPr>
          <a:xfrm>
            <a:off x="168" y="458"/>
            <a:ext cx="48" cy="4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
10</a:t>
            </a:r>
          </a:p>
        </xdr:txBody>
      </xdr:sp>
      <xdr:sp>
        <xdr:nvSpPr>
          <xdr:cNvPr id="14" name="AutoShape 15"/>
          <xdr:cNvSpPr>
            <a:spLocks/>
          </xdr:cNvSpPr>
        </xdr:nvSpPr>
        <xdr:spPr>
          <a:xfrm rot="5400000">
            <a:off x="196" y="474"/>
            <a:ext cx="19" cy="19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twoCellAnchor>
    <xdr:from>
      <xdr:col>0</xdr:col>
      <xdr:colOff>9525</xdr:colOff>
      <xdr:row>17</xdr:row>
      <xdr:rowOff>76200</xdr:rowOff>
    </xdr:from>
    <xdr:to>
      <xdr:col>0</xdr:col>
      <xdr:colOff>219075</xdr:colOff>
      <xdr:row>18</xdr:row>
      <xdr:rowOff>95250</xdr:rowOff>
    </xdr:to>
    <xdr:sp>
      <xdr:nvSpPr>
        <xdr:cNvPr id="15" name="AutoShape 16"/>
        <xdr:cNvSpPr>
          <a:spLocks/>
        </xdr:cNvSpPr>
      </xdr:nvSpPr>
      <xdr:spPr>
        <a:xfrm rot="5400000">
          <a:off x="9525" y="3248025"/>
          <a:ext cx="209550" cy="1809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76200</xdr:rowOff>
    </xdr:from>
    <xdr:to>
      <xdr:col>0</xdr:col>
      <xdr:colOff>219075</xdr:colOff>
      <xdr:row>26</xdr:row>
      <xdr:rowOff>95250</xdr:rowOff>
    </xdr:to>
    <xdr:sp>
      <xdr:nvSpPr>
        <xdr:cNvPr id="16" name="AutoShape 17"/>
        <xdr:cNvSpPr>
          <a:spLocks/>
        </xdr:cNvSpPr>
      </xdr:nvSpPr>
      <xdr:spPr>
        <a:xfrm rot="5400000">
          <a:off x="9525" y="4705350"/>
          <a:ext cx="209550" cy="1809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22</xdr:col>
      <xdr:colOff>247650</xdr:colOff>
      <xdr:row>15</xdr:row>
      <xdr:rowOff>0</xdr:rowOff>
    </xdr:from>
    <xdr:ext cx="209550" cy="180975"/>
    <xdr:sp>
      <xdr:nvSpPr>
        <xdr:cNvPr id="17" name="AutoShape 18"/>
        <xdr:cNvSpPr>
          <a:spLocks/>
        </xdr:cNvSpPr>
      </xdr:nvSpPr>
      <xdr:spPr>
        <a:xfrm rot="16200000">
          <a:off x="10096500" y="2838450"/>
          <a:ext cx="209550" cy="18097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276225</xdr:colOff>
      <xdr:row>20</xdr:row>
      <xdr:rowOff>57150</xdr:rowOff>
    </xdr:from>
    <xdr:ext cx="1162050" cy="200025"/>
    <xdr:grpSp>
      <xdr:nvGrpSpPr>
        <xdr:cNvPr id="18" name="Group 92"/>
        <xdr:cNvGrpSpPr>
          <a:grpSpLocks/>
        </xdr:cNvGrpSpPr>
      </xdr:nvGrpSpPr>
      <xdr:grpSpPr>
        <a:xfrm>
          <a:off x="6991350" y="3714750"/>
          <a:ext cx="1162050" cy="200025"/>
          <a:chOff x="599" y="390"/>
          <a:chExt cx="107" cy="21"/>
        </a:xfrm>
        <a:solidFill>
          <a:srgbClr val="FFFFFF"/>
        </a:solidFill>
      </xdr:grpSpPr>
      <xdr:sp>
        <xdr:nvSpPr>
          <xdr:cNvPr id="19" name="AutoShape 20"/>
          <xdr:cNvSpPr>
            <a:spLocks/>
          </xdr:cNvSpPr>
        </xdr:nvSpPr>
        <xdr:spPr>
          <a:xfrm>
            <a:off x="599" y="390"/>
            <a:ext cx="104" cy="21"/>
          </a:xfrm>
          <a:custGeom>
            <a:pathLst>
              <a:path h="21" w="109">
                <a:moveTo>
                  <a:pt x="0" y="13"/>
                </a:moveTo>
                <a:cubicBezTo>
                  <a:pt x="4" y="6"/>
                  <a:pt x="9" y="0"/>
                  <a:pt x="18" y="1"/>
                </a:cubicBezTo>
                <a:cubicBezTo>
                  <a:pt x="27" y="2"/>
                  <a:pt x="44" y="21"/>
                  <a:pt x="53" y="21"/>
                </a:cubicBezTo>
                <a:cubicBezTo>
                  <a:pt x="62" y="21"/>
                  <a:pt x="67" y="3"/>
                  <a:pt x="74" y="2"/>
                </a:cubicBezTo>
                <a:cubicBezTo>
                  <a:pt x="81" y="1"/>
                  <a:pt x="89" y="10"/>
                  <a:pt x="95" y="12"/>
                </a:cubicBezTo>
                <a:cubicBezTo>
                  <a:pt x="101" y="14"/>
                  <a:pt x="106" y="12"/>
                  <a:pt x="109" y="12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20" name="Group 21"/>
          <xdr:cNvGrpSpPr>
            <a:grpSpLocks/>
          </xdr:cNvGrpSpPr>
        </xdr:nvGrpSpPr>
        <xdr:grpSpPr>
          <a:xfrm>
            <a:off x="687" y="393"/>
            <a:ext cx="19" cy="18"/>
            <a:chOff x="552" y="194"/>
            <a:chExt cx="14" cy="15"/>
          </a:xfrm>
          <a:solidFill>
            <a:srgbClr val="FFFFFF"/>
          </a:solidFill>
        </xdr:grpSpPr>
        <xdr:sp>
          <xdr:nvSpPr>
            <xdr:cNvPr id="21" name="Line 22"/>
            <xdr:cNvSpPr>
              <a:spLocks/>
            </xdr:cNvSpPr>
          </xdr:nvSpPr>
          <xdr:spPr>
            <a:xfrm>
              <a:off x="552" y="194"/>
              <a:ext cx="14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2" name="Line 23"/>
            <xdr:cNvSpPr>
              <a:spLocks/>
            </xdr:cNvSpPr>
          </xdr:nvSpPr>
          <xdr:spPr>
            <a:xfrm flipV="1">
              <a:off x="553" y="201"/>
              <a:ext cx="12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oneCellAnchor>
  <xdr:oneCellAnchor>
    <xdr:from>
      <xdr:col>17</xdr:col>
      <xdr:colOff>209550</xdr:colOff>
      <xdr:row>11</xdr:row>
      <xdr:rowOff>123825</xdr:rowOff>
    </xdr:from>
    <xdr:ext cx="561975" cy="495300"/>
    <xdr:sp>
      <xdr:nvSpPr>
        <xdr:cNvPr id="23" name="Oval 27"/>
        <xdr:cNvSpPr>
          <a:spLocks/>
        </xdr:cNvSpPr>
      </xdr:nvSpPr>
      <xdr:spPr>
        <a:xfrm>
          <a:off x="7820025" y="2133600"/>
          <a:ext cx="5619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QI
9</a:t>
          </a:r>
        </a:p>
      </xdr:txBody>
    </xdr:sp>
    <xdr:clientData/>
  </xdr:oneCellAnchor>
  <xdr:oneCellAnchor>
    <xdr:from>
      <xdr:col>21</xdr:col>
      <xdr:colOff>352425</xdr:colOff>
      <xdr:row>20</xdr:row>
      <xdr:rowOff>152400</xdr:rowOff>
    </xdr:from>
    <xdr:ext cx="238125" cy="95250"/>
    <xdr:grpSp>
      <xdr:nvGrpSpPr>
        <xdr:cNvPr id="24" name="Group 28"/>
        <xdr:cNvGrpSpPr>
          <a:grpSpLocks/>
        </xdr:cNvGrpSpPr>
      </xdr:nvGrpSpPr>
      <xdr:grpSpPr>
        <a:xfrm>
          <a:off x="9753600" y="3810000"/>
          <a:ext cx="238125" cy="95250"/>
          <a:chOff x="1025" y="215"/>
          <a:chExt cx="22" cy="10"/>
        </a:xfrm>
        <a:solidFill>
          <a:srgbClr val="FFFFFF"/>
        </a:solidFill>
      </xdr:grpSpPr>
      <xdr:sp>
        <xdr:nvSpPr>
          <xdr:cNvPr id="25" name="AutoShape 29"/>
          <xdr:cNvSpPr>
            <a:spLocks/>
          </xdr:cNvSpPr>
        </xdr:nvSpPr>
        <xdr:spPr>
          <a:xfrm flipV="1">
            <a:off x="1025" y="215"/>
            <a:ext cx="22" cy="1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Oval 30"/>
          <xdr:cNvSpPr>
            <a:spLocks/>
          </xdr:cNvSpPr>
        </xdr:nvSpPr>
        <xdr:spPr>
          <a:xfrm rot="16200000">
            <a:off x="1032" y="216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6</xdr:col>
      <xdr:colOff>142875</xdr:colOff>
      <xdr:row>7</xdr:row>
      <xdr:rowOff>66675</xdr:rowOff>
    </xdr:from>
    <xdr:ext cx="590550" cy="514350"/>
    <xdr:grpSp>
      <xdr:nvGrpSpPr>
        <xdr:cNvPr id="27" name="Group 37"/>
        <xdr:cNvGrpSpPr>
          <a:grpSpLocks/>
        </xdr:cNvGrpSpPr>
      </xdr:nvGrpSpPr>
      <xdr:grpSpPr>
        <a:xfrm>
          <a:off x="2828925" y="1428750"/>
          <a:ext cx="590550" cy="514350"/>
          <a:chOff x="537" y="194"/>
          <a:chExt cx="51" cy="53"/>
        </a:xfrm>
        <a:solidFill>
          <a:srgbClr val="FFFFFF"/>
        </a:solidFill>
      </xdr:grpSpPr>
      <xdr:sp>
        <xdr:nvSpPr>
          <xdr:cNvPr id="28" name="Oval 38"/>
          <xdr:cNvSpPr>
            <a:spLocks/>
          </xdr:cNvSpPr>
        </xdr:nvSpPr>
        <xdr:spPr>
          <a:xfrm rot="21600000">
            <a:off x="537" y="194"/>
            <a:ext cx="51" cy="5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" name="AutoShape 39"/>
          <xdr:cNvSpPr>
            <a:spLocks/>
          </xdr:cNvSpPr>
        </xdr:nvSpPr>
        <xdr:spPr>
          <a:xfrm rot="27000000">
            <a:off x="566" y="210"/>
            <a:ext cx="20" cy="19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22</xdr:col>
      <xdr:colOff>85725</xdr:colOff>
      <xdr:row>21</xdr:row>
      <xdr:rowOff>47625</xdr:rowOff>
    </xdr:from>
    <xdr:ext cx="590550" cy="514350"/>
    <xdr:grpSp>
      <xdr:nvGrpSpPr>
        <xdr:cNvPr id="30" name="Group 40"/>
        <xdr:cNvGrpSpPr>
          <a:grpSpLocks/>
        </xdr:cNvGrpSpPr>
      </xdr:nvGrpSpPr>
      <xdr:grpSpPr>
        <a:xfrm rot="5400000">
          <a:off x="9934575" y="3867150"/>
          <a:ext cx="590550" cy="514350"/>
          <a:chOff x="537" y="194"/>
          <a:chExt cx="51" cy="53"/>
        </a:xfrm>
        <a:solidFill>
          <a:srgbClr val="FFFFFF"/>
        </a:solidFill>
      </xdr:grpSpPr>
      <xdr:sp>
        <xdr:nvSpPr>
          <xdr:cNvPr id="31" name="Oval 41"/>
          <xdr:cNvSpPr>
            <a:spLocks/>
          </xdr:cNvSpPr>
        </xdr:nvSpPr>
        <xdr:spPr>
          <a:xfrm rot="21600000">
            <a:off x="537" y="194"/>
            <a:ext cx="51" cy="5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" name="AutoShape 42"/>
          <xdr:cNvSpPr>
            <a:spLocks/>
          </xdr:cNvSpPr>
        </xdr:nvSpPr>
        <xdr:spPr>
          <a:xfrm rot="27000000">
            <a:off x="566" y="210"/>
            <a:ext cx="20" cy="19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1</xdr:col>
      <xdr:colOff>400050</xdr:colOff>
      <xdr:row>8</xdr:row>
      <xdr:rowOff>66675</xdr:rowOff>
    </xdr:from>
    <xdr:ext cx="219075" cy="180975"/>
    <xdr:sp>
      <xdr:nvSpPr>
        <xdr:cNvPr id="33" name="AutoShape 51"/>
        <xdr:cNvSpPr>
          <a:spLocks/>
        </xdr:cNvSpPr>
      </xdr:nvSpPr>
      <xdr:spPr>
        <a:xfrm rot="5400000">
          <a:off x="847725" y="1590675"/>
          <a:ext cx="219075" cy="18097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16</xdr:col>
      <xdr:colOff>390525</xdr:colOff>
      <xdr:row>8</xdr:row>
      <xdr:rowOff>66675</xdr:rowOff>
    </xdr:from>
    <xdr:ext cx="247650" cy="190500"/>
    <xdr:sp>
      <xdr:nvSpPr>
        <xdr:cNvPr id="34" name="AutoShape 52"/>
        <xdr:cNvSpPr>
          <a:spLocks/>
        </xdr:cNvSpPr>
      </xdr:nvSpPr>
      <xdr:spPr>
        <a:xfrm rot="5400000">
          <a:off x="7553325" y="1590675"/>
          <a:ext cx="247650" cy="19050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142875</xdr:colOff>
      <xdr:row>4</xdr:row>
      <xdr:rowOff>38100</xdr:rowOff>
    </xdr:from>
    <xdr:ext cx="581025" cy="504825"/>
    <xdr:sp>
      <xdr:nvSpPr>
        <xdr:cNvPr id="35" name="Oval 65"/>
        <xdr:cNvSpPr>
          <a:spLocks/>
        </xdr:cNvSpPr>
      </xdr:nvSpPr>
      <xdr:spPr>
        <a:xfrm>
          <a:off x="2381250" y="762000"/>
          <a:ext cx="581025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tI
6</a:t>
          </a:r>
        </a:p>
      </xdr:txBody>
    </xdr:sp>
    <xdr:clientData/>
  </xdr:oneCellAnchor>
  <xdr:oneCellAnchor>
    <xdr:from>
      <xdr:col>13</xdr:col>
      <xdr:colOff>133350</xdr:colOff>
      <xdr:row>4</xdr:row>
      <xdr:rowOff>38100</xdr:rowOff>
    </xdr:from>
    <xdr:ext cx="590550" cy="504825"/>
    <xdr:sp>
      <xdr:nvSpPr>
        <xdr:cNvPr id="36" name="Oval 66"/>
        <xdr:cNvSpPr>
          <a:spLocks/>
        </xdr:cNvSpPr>
      </xdr:nvSpPr>
      <xdr:spPr>
        <a:xfrm>
          <a:off x="5953125" y="762000"/>
          <a:ext cx="59055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tI
7</a:t>
          </a:r>
        </a:p>
      </xdr:txBody>
    </xdr:sp>
    <xdr:clientData/>
  </xdr:oneCellAnchor>
  <xdr:oneCellAnchor>
    <xdr:from>
      <xdr:col>22</xdr:col>
      <xdr:colOff>447675</xdr:colOff>
      <xdr:row>13</xdr:row>
      <xdr:rowOff>38100</xdr:rowOff>
    </xdr:from>
    <xdr:ext cx="209550" cy="180975"/>
    <xdr:sp>
      <xdr:nvSpPr>
        <xdr:cNvPr id="37" name="AutoShape 71"/>
        <xdr:cNvSpPr>
          <a:spLocks/>
        </xdr:cNvSpPr>
      </xdr:nvSpPr>
      <xdr:spPr>
        <a:xfrm rot="16200000">
          <a:off x="10296525" y="2447925"/>
          <a:ext cx="209550" cy="18097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171450</xdr:colOff>
      <xdr:row>7</xdr:row>
      <xdr:rowOff>66675</xdr:rowOff>
    </xdr:from>
    <xdr:ext cx="600075" cy="504825"/>
    <xdr:sp>
      <xdr:nvSpPr>
        <xdr:cNvPr id="38" name="Oval 73"/>
        <xdr:cNvSpPr>
          <a:spLocks/>
        </xdr:cNvSpPr>
      </xdr:nvSpPr>
      <xdr:spPr>
        <a:xfrm>
          <a:off x="1514475" y="1428750"/>
          <a:ext cx="600075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FQ
4</a:t>
          </a:r>
        </a:p>
      </xdr:txBody>
    </xdr:sp>
    <xdr:clientData/>
  </xdr:oneCellAnchor>
  <xdr:oneCellAnchor>
    <xdr:from>
      <xdr:col>2</xdr:col>
      <xdr:colOff>161925</xdr:colOff>
      <xdr:row>13</xdr:row>
      <xdr:rowOff>28575</xdr:rowOff>
    </xdr:from>
    <xdr:ext cx="581025" cy="504825"/>
    <xdr:sp>
      <xdr:nvSpPr>
        <xdr:cNvPr id="39" name="Oval 74"/>
        <xdr:cNvSpPr>
          <a:spLocks/>
        </xdr:cNvSpPr>
      </xdr:nvSpPr>
      <xdr:spPr>
        <a:xfrm>
          <a:off x="1057275" y="2438400"/>
          <a:ext cx="581025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pI
2</a:t>
          </a:r>
        </a:p>
      </xdr:txBody>
    </xdr:sp>
    <xdr:clientData/>
  </xdr:oneCellAnchor>
  <xdr:oneCellAnchor>
    <xdr:from>
      <xdr:col>3</xdr:col>
      <xdr:colOff>123825</xdr:colOff>
      <xdr:row>16</xdr:row>
      <xdr:rowOff>66675</xdr:rowOff>
    </xdr:from>
    <xdr:ext cx="571500" cy="381000"/>
    <xdr:grpSp>
      <xdr:nvGrpSpPr>
        <xdr:cNvPr id="40" name="Group 75"/>
        <xdr:cNvGrpSpPr>
          <a:grpSpLocks/>
        </xdr:cNvGrpSpPr>
      </xdr:nvGrpSpPr>
      <xdr:grpSpPr>
        <a:xfrm>
          <a:off x="1466850" y="3067050"/>
          <a:ext cx="571500" cy="381000"/>
          <a:chOff x="729" y="661"/>
          <a:chExt cx="53" cy="39"/>
        </a:xfrm>
        <a:solidFill>
          <a:srgbClr val="FFFFFF"/>
        </a:solidFill>
      </xdr:grpSpPr>
      <xdr:grpSp>
        <xdr:nvGrpSpPr>
          <xdr:cNvPr id="41" name="Group 76"/>
          <xdr:cNvGrpSpPr>
            <a:grpSpLocks/>
          </xdr:cNvGrpSpPr>
        </xdr:nvGrpSpPr>
        <xdr:grpSpPr>
          <a:xfrm rot="5400000">
            <a:off x="729" y="661"/>
            <a:ext cx="39" cy="38"/>
            <a:chOff x="243" y="282"/>
            <a:chExt cx="35" cy="38"/>
          </a:xfrm>
          <a:solidFill>
            <a:srgbClr val="FFFFFF"/>
          </a:solidFill>
        </xdr:grpSpPr>
        <xdr:grpSp>
          <xdr:nvGrpSpPr>
            <xdr:cNvPr id="42" name="Group 77"/>
            <xdr:cNvGrpSpPr>
              <a:grpSpLocks/>
            </xdr:cNvGrpSpPr>
          </xdr:nvGrpSpPr>
          <xdr:grpSpPr>
            <a:xfrm>
              <a:off x="259" y="282"/>
              <a:ext cx="19" cy="38"/>
              <a:chOff x="267" y="282"/>
              <a:chExt cx="19" cy="38"/>
            </a:xfrm>
            <a:solidFill>
              <a:srgbClr val="FFFFFF"/>
            </a:solidFill>
          </xdr:grpSpPr>
          <xdr:sp>
            <xdr:nvSpPr>
              <xdr:cNvPr id="43" name="AutoShape 78"/>
              <xdr:cNvSpPr>
                <a:spLocks/>
              </xdr:cNvSpPr>
            </xdr:nvSpPr>
            <xdr:spPr>
              <a:xfrm>
                <a:off x="267" y="282"/>
                <a:ext cx="19" cy="19"/>
              </a:xfrm>
              <a:prstGeom prst="flowChartMerg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44" name="AutoShape 79"/>
              <xdr:cNvSpPr>
                <a:spLocks/>
              </xdr:cNvSpPr>
            </xdr:nvSpPr>
            <xdr:spPr>
              <a:xfrm rot="10800000">
                <a:off x="267" y="301"/>
                <a:ext cx="19" cy="19"/>
              </a:xfrm>
              <a:prstGeom prst="flowChartMerg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45" name="Line 80"/>
            <xdr:cNvSpPr>
              <a:spLocks/>
            </xdr:cNvSpPr>
          </xdr:nvSpPr>
          <xdr:spPr>
            <a:xfrm>
              <a:off x="243" y="301"/>
              <a:ext cx="2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46" name="Line 81"/>
          <xdr:cNvSpPr>
            <a:spLocks/>
          </xdr:cNvSpPr>
        </xdr:nvSpPr>
        <xdr:spPr>
          <a:xfrm>
            <a:off x="748" y="661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7" name="Line 82"/>
          <xdr:cNvSpPr>
            <a:spLocks/>
          </xdr:cNvSpPr>
        </xdr:nvSpPr>
        <xdr:spPr>
          <a:xfrm>
            <a:off x="767" y="689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8" name="Line 83"/>
          <xdr:cNvSpPr>
            <a:spLocks/>
          </xdr:cNvSpPr>
        </xdr:nvSpPr>
        <xdr:spPr>
          <a:xfrm>
            <a:off x="782" y="661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5</xdr:col>
      <xdr:colOff>123825</xdr:colOff>
      <xdr:row>17</xdr:row>
      <xdr:rowOff>114300</xdr:rowOff>
    </xdr:from>
    <xdr:ext cx="238125" cy="95250"/>
    <xdr:grpSp>
      <xdr:nvGrpSpPr>
        <xdr:cNvPr id="49" name="Group 84"/>
        <xdr:cNvGrpSpPr>
          <a:grpSpLocks/>
        </xdr:cNvGrpSpPr>
      </xdr:nvGrpSpPr>
      <xdr:grpSpPr>
        <a:xfrm rot="20700000">
          <a:off x="2362200" y="3286125"/>
          <a:ext cx="238125" cy="95250"/>
          <a:chOff x="1025" y="215"/>
          <a:chExt cx="22" cy="10"/>
        </a:xfrm>
        <a:solidFill>
          <a:srgbClr val="FFFFFF"/>
        </a:solidFill>
      </xdr:grpSpPr>
      <xdr:sp>
        <xdr:nvSpPr>
          <xdr:cNvPr id="50" name="AutoShape 85"/>
          <xdr:cNvSpPr>
            <a:spLocks/>
          </xdr:cNvSpPr>
        </xdr:nvSpPr>
        <xdr:spPr>
          <a:xfrm flipV="1">
            <a:off x="1025" y="215"/>
            <a:ext cx="22" cy="1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1" name="Oval 86"/>
          <xdr:cNvSpPr>
            <a:spLocks/>
          </xdr:cNvSpPr>
        </xdr:nvSpPr>
        <xdr:spPr>
          <a:xfrm rot="16200000">
            <a:off x="1032" y="216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3</xdr:col>
      <xdr:colOff>161925</xdr:colOff>
      <xdr:row>25</xdr:row>
      <xdr:rowOff>114300</xdr:rowOff>
    </xdr:from>
    <xdr:ext cx="238125" cy="95250"/>
    <xdr:grpSp>
      <xdr:nvGrpSpPr>
        <xdr:cNvPr id="52" name="Group 87"/>
        <xdr:cNvGrpSpPr>
          <a:grpSpLocks/>
        </xdr:cNvGrpSpPr>
      </xdr:nvGrpSpPr>
      <xdr:grpSpPr>
        <a:xfrm rot="20700000">
          <a:off x="1504950" y="4743450"/>
          <a:ext cx="238125" cy="95250"/>
          <a:chOff x="1025" y="215"/>
          <a:chExt cx="22" cy="10"/>
        </a:xfrm>
        <a:solidFill>
          <a:srgbClr val="FFFFFF"/>
        </a:solidFill>
      </xdr:grpSpPr>
      <xdr:sp>
        <xdr:nvSpPr>
          <xdr:cNvPr id="53" name="AutoShape 88"/>
          <xdr:cNvSpPr>
            <a:spLocks/>
          </xdr:cNvSpPr>
        </xdr:nvSpPr>
        <xdr:spPr>
          <a:xfrm flipV="1">
            <a:off x="1025" y="215"/>
            <a:ext cx="22" cy="1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4" name="Oval 89"/>
          <xdr:cNvSpPr>
            <a:spLocks/>
          </xdr:cNvSpPr>
        </xdr:nvSpPr>
        <xdr:spPr>
          <a:xfrm rot="16200000">
            <a:off x="1032" y="216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15</xdr:col>
      <xdr:colOff>161925</xdr:colOff>
      <xdr:row>4</xdr:row>
      <xdr:rowOff>47625</xdr:rowOff>
    </xdr:from>
    <xdr:ext cx="581025" cy="504825"/>
    <xdr:sp>
      <xdr:nvSpPr>
        <xdr:cNvPr id="55" name="Oval 90"/>
        <xdr:cNvSpPr>
          <a:spLocks/>
        </xdr:cNvSpPr>
      </xdr:nvSpPr>
      <xdr:spPr>
        <a:xfrm>
          <a:off x="6877050" y="771525"/>
          <a:ext cx="581025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pI
8</a:t>
          </a:r>
        </a:p>
      </xdr:txBody>
    </xdr:sp>
    <xdr:clientData/>
  </xdr:oneCellAnchor>
  <xdr:oneCellAnchor>
    <xdr:from>
      <xdr:col>1</xdr:col>
      <xdr:colOff>0</xdr:colOff>
      <xdr:row>16</xdr:row>
      <xdr:rowOff>76200</xdr:rowOff>
    </xdr:from>
    <xdr:ext cx="590550" cy="504825"/>
    <xdr:sp>
      <xdr:nvSpPr>
        <xdr:cNvPr id="56" name="Oval 93"/>
        <xdr:cNvSpPr>
          <a:spLocks/>
        </xdr:cNvSpPr>
      </xdr:nvSpPr>
      <xdr:spPr>
        <a:xfrm>
          <a:off x="447675" y="3076575"/>
          <a:ext cx="59055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FQ
1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119</xdr:col>
      <xdr:colOff>104775</xdr:colOff>
      <xdr:row>10</xdr:row>
      <xdr:rowOff>76200</xdr:rowOff>
    </xdr:from>
    <xdr:ext cx="600075" cy="514350"/>
    <xdr:sp>
      <xdr:nvSpPr>
        <xdr:cNvPr id="1" name="Oval 1"/>
        <xdr:cNvSpPr>
          <a:spLocks/>
        </xdr:cNvSpPr>
      </xdr:nvSpPr>
      <xdr:spPr>
        <a:xfrm>
          <a:off x="15973425" y="1495425"/>
          <a:ext cx="600075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FQ
2</a:t>
          </a:r>
        </a:p>
      </xdr:txBody>
    </xdr:sp>
    <xdr:clientData/>
  </xdr:oneCellAnchor>
  <xdr:oneCellAnchor>
    <xdr:from>
      <xdr:col>103</xdr:col>
      <xdr:colOff>0</xdr:colOff>
      <xdr:row>22</xdr:row>
      <xdr:rowOff>0</xdr:rowOff>
    </xdr:from>
    <xdr:ext cx="219075" cy="219075"/>
    <xdr:sp>
      <xdr:nvSpPr>
        <xdr:cNvPr id="2" name="AutoShape 2"/>
        <xdr:cNvSpPr>
          <a:spLocks/>
        </xdr:cNvSpPr>
      </xdr:nvSpPr>
      <xdr:spPr>
        <a:xfrm rot="16200000">
          <a:off x="13735050" y="2676525"/>
          <a:ext cx="219075" cy="21907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55</xdr:col>
      <xdr:colOff>47625</xdr:colOff>
      <xdr:row>9</xdr:row>
      <xdr:rowOff>0</xdr:rowOff>
    </xdr:from>
    <xdr:ext cx="219075" cy="219075"/>
    <xdr:sp>
      <xdr:nvSpPr>
        <xdr:cNvPr id="3" name="AutoShape 3"/>
        <xdr:cNvSpPr>
          <a:spLocks/>
        </xdr:cNvSpPr>
      </xdr:nvSpPr>
      <xdr:spPr>
        <a:xfrm rot="5400000">
          <a:off x="7381875" y="1314450"/>
          <a:ext cx="219075" cy="21907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127</xdr:col>
      <xdr:colOff>0</xdr:colOff>
      <xdr:row>34</xdr:row>
      <xdr:rowOff>0</xdr:rowOff>
    </xdr:from>
    <xdr:ext cx="209550" cy="209550"/>
    <xdr:sp>
      <xdr:nvSpPr>
        <xdr:cNvPr id="4" name="AutoShape 4"/>
        <xdr:cNvSpPr>
          <a:spLocks/>
        </xdr:cNvSpPr>
      </xdr:nvSpPr>
      <xdr:spPr>
        <a:xfrm rot="5400000">
          <a:off x="16935450" y="3895725"/>
          <a:ext cx="209550" cy="2095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123825</xdr:colOff>
      <xdr:row>74</xdr:row>
      <xdr:rowOff>9525</xdr:rowOff>
    </xdr:from>
    <xdr:ext cx="219075" cy="180975"/>
    <xdr:sp>
      <xdr:nvSpPr>
        <xdr:cNvPr id="5" name="AutoShape 5"/>
        <xdr:cNvSpPr>
          <a:spLocks/>
        </xdr:cNvSpPr>
      </xdr:nvSpPr>
      <xdr:spPr>
        <a:xfrm rot="5400000">
          <a:off x="257175" y="7943850"/>
          <a:ext cx="219075" cy="18097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127</xdr:col>
      <xdr:colOff>104775</xdr:colOff>
      <xdr:row>49</xdr:row>
      <xdr:rowOff>0</xdr:rowOff>
    </xdr:from>
    <xdr:ext cx="428625" cy="771525"/>
    <xdr:grpSp>
      <xdr:nvGrpSpPr>
        <xdr:cNvPr id="6" name="Group 6"/>
        <xdr:cNvGrpSpPr>
          <a:grpSpLocks/>
        </xdr:cNvGrpSpPr>
      </xdr:nvGrpSpPr>
      <xdr:grpSpPr>
        <a:xfrm rot="10800000">
          <a:off x="17040225" y="5467350"/>
          <a:ext cx="428625" cy="771525"/>
          <a:chOff x="593" y="256"/>
          <a:chExt cx="39" cy="80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 rot="5400000">
            <a:off x="600" y="305"/>
            <a:ext cx="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Oval 8"/>
          <xdr:cNvSpPr>
            <a:spLocks/>
          </xdr:cNvSpPr>
        </xdr:nvSpPr>
        <xdr:spPr>
          <a:xfrm rot="5400000">
            <a:off x="593" y="256"/>
            <a:ext cx="39" cy="3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400" b="0" i="0" u="none" baseline="0">
                <a:latin typeface="Arial Cyr"/>
                <a:ea typeface="Arial Cyr"/>
                <a:cs typeface="Arial Cyr"/>
              </a:rPr>
              <a:t>М</a:t>
            </a:r>
          </a:p>
        </xdr:txBody>
      </xdr:sp>
      <xdr:grpSp>
        <xdr:nvGrpSpPr>
          <xdr:cNvPr id="9" name="Group 9"/>
          <xdr:cNvGrpSpPr>
            <a:grpSpLocks/>
          </xdr:cNvGrpSpPr>
        </xdr:nvGrpSpPr>
        <xdr:grpSpPr>
          <a:xfrm>
            <a:off x="595" y="308"/>
            <a:ext cx="35" cy="28"/>
            <a:chOff x="587" y="308"/>
            <a:chExt cx="35" cy="28"/>
          </a:xfrm>
          <a:solidFill>
            <a:srgbClr val="FFFFFF"/>
          </a:solidFill>
        </xdr:grpSpPr>
        <xdr:sp>
          <xdr:nvSpPr>
            <xdr:cNvPr id="10" name="AutoShape 10"/>
            <xdr:cNvSpPr>
              <a:spLocks/>
            </xdr:cNvSpPr>
          </xdr:nvSpPr>
          <xdr:spPr>
            <a:xfrm>
              <a:off x="595" y="319"/>
              <a:ext cx="20" cy="17"/>
            </a:xfrm>
            <a:prstGeom prst="triangl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" name="AutoShape 11"/>
            <xdr:cNvSpPr>
              <a:spLocks/>
            </xdr:cNvSpPr>
          </xdr:nvSpPr>
          <xdr:spPr>
            <a:xfrm rot="5400000">
              <a:off x="587" y="309"/>
              <a:ext cx="20" cy="17"/>
            </a:xfrm>
            <a:prstGeom prst="triangl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" name="AutoShape 12"/>
            <xdr:cNvSpPr>
              <a:spLocks/>
            </xdr:cNvSpPr>
          </xdr:nvSpPr>
          <xdr:spPr>
            <a:xfrm rot="16200000">
              <a:off x="605" y="308"/>
              <a:ext cx="17" cy="20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oneCellAnchor>
  <xdr:oneCellAnchor>
    <xdr:from>
      <xdr:col>55</xdr:col>
      <xdr:colOff>47625</xdr:colOff>
      <xdr:row>37</xdr:row>
      <xdr:rowOff>0</xdr:rowOff>
    </xdr:from>
    <xdr:ext cx="219075" cy="209550"/>
    <xdr:sp>
      <xdr:nvSpPr>
        <xdr:cNvPr id="13" name="AutoShape 13"/>
        <xdr:cNvSpPr>
          <a:spLocks/>
        </xdr:cNvSpPr>
      </xdr:nvSpPr>
      <xdr:spPr>
        <a:xfrm rot="16200000">
          <a:off x="7381875" y="4210050"/>
          <a:ext cx="219075" cy="2095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108</xdr:col>
      <xdr:colOff>123825</xdr:colOff>
      <xdr:row>8</xdr:row>
      <xdr:rowOff>85725</xdr:rowOff>
    </xdr:from>
    <xdr:ext cx="247650" cy="333375"/>
    <xdr:grpSp>
      <xdr:nvGrpSpPr>
        <xdr:cNvPr id="14" name="Group 14"/>
        <xdr:cNvGrpSpPr>
          <a:grpSpLocks/>
        </xdr:cNvGrpSpPr>
      </xdr:nvGrpSpPr>
      <xdr:grpSpPr>
        <a:xfrm>
          <a:off x="14525625" y="1295400"/>
          <a:ext cx="247650" cy="333375"/>
          <a:chOff x="1013" y="569"/>
          <a:chExt cx="22" cy="36"/>
        </a:xfrm>
        <a:solidFill>
          <a:srgbClr val="FFFFFF"/>
        </a:solidFill>
      </xdr:grpSpPr>
      <xdr:sp>
        <xdr:nvSpPr>
          <xdr:cNvPr id="15" name="AutoShape 15"/>
          <xdr:cNvSpPr>
            <a:spLocks/>
          </xdr:cNvSpPr>
        </xdr:nvSpPr>
        <xdr:spPr>
          <a:xfrm rot="21600000">
            <a:off x="1013" y="569"/>
            <a:ext cx="22" cy="18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 rot="32400000">
            <a:off x="1013" y="587"/>
            <a:ext cx="22" cy="18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" name="Oval 17"/>
          <xdr:cNvSpPr>
            <a:spLocks/>
          </xdr:cNvSpPr>
        </xdr:nvSpPr>
        <xdr:spPr>
          <a:xfrm>
            <a:off x="1020" y="583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132</xdr:col>
      <xdr:colOff>38100</xdr:colOff>
      <xdr:row>39</xdr:row>
      <xdr:rowOff>0</xdr:rowOff>
    </xdr:from>
    <xdr:ext cx="619125" cy="1266825"/>
    <xdr:grpSp>
      <xdr:nvGrpSpPr>
        <xdr:cNvPr id="18" name="Group 18"/>
        <xdr:cNvGrpSpPr>
          <a:grpSpLocks/>
        </xdr:cNvGrpSpPr>
      </xdr:nvGrpSpPr>
      <xdr:grpSpPr>
        <a:xfrm>
          <a:off x="17640300" y="4419600"/>
          <a:ext cx="619125" cy="1266825"/>
          <a:chOff x="689" y="344"/>
          <a:chExt cx="56" cy="132"/>
        </a:xfrm>
        <a:solidFill>
          <a:srgbClr val="FFFFFF"/>
        </a:solidFill>
      </xdr:grpSpPr>
      <xdr:sp>
        <xdr:nvSpPr>
          <xdr:cNvPr id="19" name="Oval 19"/>
          <xdr:cNvSpPr>
            <a:spLocks/>
          </xdr:cNvSpPr>
        </xdr:nvSpPr>
        <xdr:spPr>
          <a:xfrm>
            <a:off x="689" y="344"/>
            <a:ext cx="56" cy="3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" name="Oval 20"/>
          <xdr:cNvSpPr>
            <a:spLocks/>
          </xdr:cNvSpPr>
        </xdr:nvSpPr>
        <xdr:spPr>
          <a:xfrm>
            <a:off x="689" y="441"/>
            <a:ext cx="56" cy="3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21" name="Group 21"/>
          <xdr:cNvGrpSpPr>
            <a:grpSpLocks/>
          </xdr:cNvGrpSpPr>
        </xdr:nvGrpSpPr>
        <xdr:grpSpPr>
          <a:xfrm>
            <a:off x="689" y="361"/>
            <a:ext cx="56" cy="97"/>
            <a:chOff x="689" y="361"/>
            <a:chExt cx="56" cy="97"/>
          </a:xfrm>
          <a:solidFill>
            <a:srgbClr val="FFFFFF"/>
          </a:solidFill>
        </xdr:grpSpPr>
        <xdr:sp>
          <xdr:nvSpPr>
            <xdr:cNvPr id="22" name="Rectangle 22"/>
            <xdr:cNvSpPr>
              <a:spLocks/>
            </xdr:cNvSpPr>
          </xdr:nvSpPr>
          <xdr:spPr>
            <a:xfrm>
              <a:off x="689" y="361"/>
              <a:ext cx="56" cy="97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3" name="Line 23"/>
            <xdr:cNvSpPr>
              <a:spLocks/>
            </xdr:cNvSpPr>
          </xdr:nvSpPr>
          <xdr:spPr>
            <a:xfrm>
              <a:off x="689" y="399"/>
              <a:ext cx="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4" name="Line 24"/>
            <xdr:cNvSpPr>
              <a:spLocks/>
            </xdr:cNvSpPr>
          </xdr:nvSpPr>
          <xdr:spPr>
            <a:xfrm>
              <a:off x="689" y="432"/>
              <a:ext cx="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5" name="Line 25"/>
            <xdr:cNvSpPr>
              <a:spLocks/>
            </xdr:cNvSpPr>
          </xdr:nvSpPr>
          <xdr:spPr>
            <a:xfrm>
              <a:off x="706" y="399"/>
              <a:ext cx="22" cy="1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6" name="Line 26"/>
            <xdr:cNvSpPr>
              <a:spLocks/>
            </xdr:cNvSpPr>
          </xdr:nvSpPr>
          <xdr:spPr>
            <a:xfrm flipV="1">
              <a:off x="706" y="416"/>
              <a:ext cx="22" cy="1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oneCellAnchor>
  <xdr:oneCellAnchor>
    <xdr:from>
      <xdr:col>132</xdr:col>
      <xdr:colOff>85725</xdr:colOff>
      <xdr:row>52</xdr:row>
      <xdr:rowOff>38100</xdr:rowOff>
    </xdr:from>
    <xdr:ext cx="457200" cy="571500"/>
    <xdr:grpSp>
      <xdr:nvGrpSpPr>
        <xdr:cNvPr id="27" name="Group 27"/>
        <xdr:cNvGrpSpPr>
          <a:grpSpLocks/>
        </xdr:cNvGrpSpPr>
      </xdr:nvGrpSpPr>
      <xdr:grpSpPr>
        <a:xfrm>
          <a:off x="17687925" y="5819775"/>
          <a:ext cx="457200" cy="571500"/>
          <a:chOff x="415" y="222"/>
          <a:chExt cx="41" cy="59"/>
        </a:xfrm>
        <a:solidFill>
          <a:srgbClr val="FFFFFF"/>
        </a:solidFill>
      </xdr:grpSpPr>
      <xdr:grpSp>
        <xdr:nvGrpSpPr>
          <xdr:cNvPr id="28" name="Group 28"/>
          <xdr:cNvGrpSpPr>
            <a:grpSpLocks/>
          </xdr:cNvGrpSpPr>
        </xdr:nvGrpSpPr>
        <xdr:grpSpPr>
          <a:xfrm rot="5400000">
            <a:off x="418" y="243"/>
            <a:ext cx="38" cy="37"/>
            <a:chOff x="243" y="282"/>
            <a:chExt cx="35" cy="38"/>
          </a:xfrm>
          <a:solidFill>
            <a:srgbClr val="FFFFFF"/>
          </a:solidFill>
        </xdr:grpSpPr>
        <xdr:grpSp>
          <xdr:nvGrpSpPr>
            <xdr:cNvPr id="29" name="Group 29"/>
            <xdr:cNvGrpSpPr>
              <a:grpSpLocks/>
            </xdr:cNvGrpSpPr>
          </xdr:nvGrpSpPr>
          <xdr:grpSpPr>
            <a:xfrm>
              <a:off x="259" y="282"/>
              <a:ext cx="19" cy="38"/>
              <a:chOff x="267" y="282"/>
              <a:chExt cx="19" cy="38"/>
            </a:xfrm>
            <a:solidFill>
              <a:srgbClr val="FFFFFF"/>
            </a:solidFill>
          </xdr:grpSpPr>
          <xdr:sp>
            <xdr:nvSpPr>
              <xdr:cNvPr id="30" name="AutoShape 30"/>
              <xdr:cNvSpPr>
                <a:spLocks/>
              </xdr:cNvSpPr>
            </xdr:nvSpPr>
            <xdr:spPr>
              <a:xfrm>
                <a:off x="267" y="282"/>
                <a:ext cx="19" cy="19"/>
              </a:xfrm>
              <a:prstGeom prst="flowChartMerg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1" name="AutoShape 31"/>
              <xdr:cNvSpPr>
                <a:spLocks/>
              </xdr:cNvSpPr>
            </xdr:nvSpPr>
            <xdr:spPr>
              <a:xfrm rot="10800000">
                <a:off x="267" y="301"/>
                <a:ext cx="19" cy="19"/>
              </a:xfrm>
              <a:prstGeom prst="flowChartMerg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32" name="Line 32"/>
            <xdr:cNvSpPr>
              <a:spLocks/>
            </xdr:cNvSpPr>
          </xdr:nvSpPr>
          <xdr:spPr>
            <a:xfrm>
              <a:off x="243" y="301"/>
              <a:ext cx="2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33" name="Rectangle 33"/>
          <xdr:cNvSpPr>
            <a:spLocks/>
          </xdr:cNvSpPr>
        </xdr:nvSpPr>
        <xdr:spPr>
          <a:xfrm>
            <a:off x="415" y="222"/>
            <a:ext cx="4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138</xdr:col>
      <xdr:colOff>9525</xdr:colOff>
      <xdr:row>49</xdr:row>
      <xdr:rowOff>0</xdr:rowOff>
    </xdr:from>
    <xdr:ext cx="695325" cy="561975"/>
    <xdr:grpSp>
      <xdr:nvGrpSpPr>
        <xdr:cNvPr id="34" name="Group 34"/>
        <xdr:cNvGrpSpPr>
          <a:grpSpLocks/>
        </xdr:cNvGrpSpPr>
      </xdr:nvGrpSpPr>
      <xdr:grpSpPr>
        <a:xfrm>
          <a:off x="18411825" y="5467350"/>
          <a:ext cx="695325" cy="561975"/>
          <a:chOff x="613" y="480"/>
          <a:chExt cx="60" cy="52"/>
        </a:xfrm>
        <a:solidFill>
          <a:srgbClr val="FFFFFF"/>
        </a:solidFill>
      </xdr:grpSpPr>
      <xdr:sp>
        <xdr:nvSpPr>
          <xdr:cNvPr id="35" name="Rectangle 35"/>
          <xdr:cNvSpPr>
            <a:spLocks/>
          </xdr:cNvSpPr>
        </xdr:nvSpPr>
        <xdr:spPr>
          <a:xfrm>
            <a:off x="613" y="480"/>
            <a:ext cx="60" cy="5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 flipV="1">
            <a:off x="613" y="485"/>
            <a:ext cx="3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 flipV="1">
            <a:off x="643" y="505"/>
            <a:ext cx="3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>
            <a:off x="643" y="485"/>
            <a:ext cx="0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141</xdr:col>
      <xdr:colOff>104775</xdr:colOff>
      <xdr:row>58</xdr:row>
      <xdr:rowOff>0</xdr:rowOff>
    </xdr:from>
    <xdr:ext cx="609600" cy="447675"/>
    <xdr:sp>
      <xdr:nvSpPr>
        <xdr:cNvPr id="39" name="Oval 39"/>
        <xdr:cNvSpPr>
          <a:spLocks/>
        </xdr:cNvSpPr>
      </xdr:nvSpPr>
      <xdr:spPr>
        <a:xfrm>
          <a:off x="18907125" y="6410325"/>
          <a:ext cx="609600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FQ
3.1
8
10</a:t>
          </a:r>
        </a:p>
      </xdr:txBody>
    </xdr:sp>
    <xdr:clientData/>
  </xdr:oneCellAnchor>
  <xdr:oneCellAnchor>
    <xdr:from>
      <xdr:col>146</xdr:col>
      <xdr:colOff>104775</xdr:colOff>
      <xdr:row>58</xdr:row>
      <xdr:rowOff>0</xdr:rowOff>
    </xdr:from>
    <xdr:ext cx="600075" cy="514350"/>
    <xdr:sp>
      <xdr:nvSpPr>
        <xdr:cNvPr id="40" name="Oval 40"/>
        <xdr:cNvSpPr>
          <a:spLocks/>
        </xdr:cNvSpPr>
      </xdr:nvSpPr>
      <xdr:spPr>
        <a:xfrm>
          <a:off x="19573875" y="6410325"/>
          <a:ext cx="600075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tI
3.2
8
10</a:t>
          </a:r>
        </a:p>
      </xdr:txBody>
    </xdr:sp>
    <xdr:clientData/>
  </xdr:oneCellAnchor>
  <xdr:oneCellAnchor>
    <xdr:from>
      <xdr:col>140</xdr:col>
      <xdr:colOff>38100</xdr:colOff>
      <xdr:row>46</xdr:row>
      <xdr:rowOff>66675</xdr:rowOff>
    </xdr:from>
    <xdr:ext cx="847725" cy="381000"/>
    <xdr:grpSp>
      <xdr:nvGrpSpPr>
        <xdr:cNvPr id="41" name="Group 41"/>
        <xdr:cNvGrpSpPr>
          <a:grpSpLocks/>
        </xdr:cNvGrpSpPr>
      </xdr:nvGrpSpPr>
      <xdr:grpSpPr>
        <a:xfrm rot="16200000">
          <a:off x="18707100" y="5219700"/>
          <a:ext cx="847725" cy="381000"/>
          <a:chOff x="1060" y="208"/>
          <a:chExt cx="39" cy="76"/>
        </a:xfrm>
        <a:solidFill>
          <a:srgbClr val="FFFFFF"/>
        </a:solidFill>
      </xdr:grpSpPr>
      <xdr:grpSp>
        <xdr:nvGrpSpPr>
          <xdr:cNvPr id="42" name="Group 42"/>
          <xdr:cNvGrpSpPr>
            <a:grpSpLocks/>
          </xdr:cNvGrpSpPr>
        </xdr:nvGrpSpPr>
        <xdr:grpSpPr>
          <a:xfrm>
            <a:off x="1060" y="208"/>
            <a:ext cx="39" cy="60"/>
            <a:chOff x="1060" y="208"/>
            <a:chExt cx="39" cy="60"/>
          </a:xfrm>
          <a:solidFill>
            <a:srgbClr val="FFFFFF"/>
          </a:solidFill>
        </xdr:grpSpPr>
        <xdr:sp>
          <xdr:nvSpPr>
            <xdr:cNvPr id="43" name="AutoShape 43"/>
            <xdr:cNvSpPr>
              <a:spLocks/>
            </xdr:cNvSpPr>
          </xdr:nvSpPr>
          <xdr:spPr>
            <a:xfrm>
              <a:off x="1080" y="240"/>
              <a:ext cx="1" cy="28"/>
            </a:xfrm>
            <a:custGeom>
              <a:pathLst>
                <a:path h="28" w="1">
                  <a:moveTo>
                    <a:pt x="0" y="0"/>
                  </a:moveTo>
                  <a:lnTo>
                    <a:pt x="0" y="28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4" name="Oval 44"/>
            <xdr:cNvSpPr>
              <a:spLocks/>
            </xdr:cNvSpPr>
          </xdr:nvSpPr>
          <xdr:spPr>
            <a:xfrm rot="5400000">
              <a:off x="1060" y="208"/>
              <a:ext cx="39" cy="39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0" i="0" u="none" baseline="0">
                  <a:latin typeface="Arial Cyr"/>
                  <a:ea typeface="Arial Cyr"/>
                  <a:cs typeface="Arial Cyr"/>
                </a:rPr>
                <a:t>М ММ МММ</a:t>
              </a: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
8
10</a:t>
              </a:r>
            </a:p>
          </xdr:txBody>
        </xdr:sp>
      </xdr:grpSp>
      <xdr:grpSp>
        <xdr:nvGrpSpPr>
          <xdr:cNvPr id="45" name="Group 45"/>
          <xdr:cNvGrpSpPr>
            <a:grpSpLocks/>
          </xdr:cNvGrpSpPr>
        </xdr:nvGrpSpPr>
        <xdr:grpSpPr>
          <a:xfrm>
            <a:off x="1062" y="264"/>
            <a:ext cx="36" cy="20"/>
            <a:chOff x="1153" y="257"/>
            <a:chExt cx="36" cy="20"/>
          </a:xfrm>
          <a:solidFill>
            <a:srgbClr val="FFFFFF"/>
          </a:solidFill>
        </xdr:grpSpPr>
        <xdr:grpSp>
          <xdr:nvGrpSpPr>
            <xdr:cNvPr id="46" name="Group 46"/>
            <xdr:cNvGrpSpPr>
              <a:grpSpLocks/>
            </xdr:cNvGrpSpPr>
          </xdr:nvGrpSpPr>
          <xdr:grpSpPr>
            <a:xfrm>
              <a:off x="1153" y="257"/>
              <a:ext cx="36" cy="20"/>
              <a:chOff x="1048" y="215"/>
              <a:chExt cx="36" cy="20"/>
            </a:xfrm>
            <a:solidFill>
              <a:srgbClr val="FFFFFF"/>
            </a:solidFill>
          </xdr:grpSpPr>
          <xdr:grpSp>
            <xdr:nvGrpSpPr>
              <xdr:cNvPr id="47" name="Group 47"/>
              <xdr:cNvGrpSpPr>
                <a:grpSpLocks/>
              </xdr:cNvGrpSpPr>
            </xdr:nvGrpSpPr>
            <xdr:grpSpPr>
              <a:xfrm rot="5400000">
                <a:off x="1056" y="208"/>
                <a:ext cx="20" cy="36"/>
                <a:chOff x="267" y="282"/>
                <a:chExt cx="19" cy="38"/>
              </a:xfrm>
              <a:solidFill>
                <a:srgbClr val="FFFFFF"/>
              </a:solidFill>
            </xdr:grpSpPr>
            <xdr:sp>
              <xdr:nvSpPr>
                <xdr:cNvPr id="48" name="AutoShape 48"/>
                <xdr:cNvSpPr>
                  <a:spLocks/>
                </xdr:cNvSpPr>
              </xdr:nvSpPr>
              <xdr:spPr>
                <a:xfrm>
                  <a:off x="267" y="282"/>
                  <a:ext cx="19" cy="19"/>
                </a:xfrm>
                <a:prstGeom prst="flowChartMerg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49" name="AutoShape 49"/>
                <xdr:cNvSpPr>
                  <a:spLocks/>
                </xdr:cNvSpPr>
              </xdr:nvSpPr>
              <xdr:spPr>
                <a:xfrm rot="10800000">
                  <a:off x="267" y="301"/>
                  <a:ext cx="19" cy="19"/>
                </a:xfrm>
                <a:prstGeom prst="flowChartMerg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  <xdr:sp>
            <xdr:nvSpPr>
              <xdr:cNvPr id="50" name="AutoShape 50"/>
              <xdr:cNvSpPr>
                <a:spLocks/>
              </xdr:cNvSpPr>
            </xdr:nvSpPr>
            <xdr:spPr>
              <a:xfrm>
                <a:off x="1066" y="215"/>
                <a:ext cx="0" cy="20"/>
              </a:xfrm>
              <a:prstGeom prst="straightConnector1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51" name="Oval 51"/>
            <xdr:cNvSpPr>
              <a:spLocks/>
            </xdr:cNvSpPr>
          </xdr:nvSpPr>
          <xdr:spPr>
            <a:xfrm>
              <a:off x="1167" y="262"/>
              <a:ext cx="8" cy="8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oneCellAnchor>
  <xdr:twoCellAnchor>
    <xdr:from>
      <xdr:col>128</xdr:col>
      <xdr:colOff>38100</xdr:colOff>
      <xdr:row>43</xdr:row>
      <xdr:rowOff>38100</xdr:rowOff>
    </xdr:from>
    <xdr:to>
      <xdr:col>129</xdr:col>
      <xdr:colOff>123825</xdr:colOff>
      <xdr:row>46</xdr:row>
      <xdr:rowOff>66675</xdr:rowOff>
    </xdr:to>
    <xdr:grpSp>
      <xdr:nvGrpSpPr>
        <xdr:cNvPr id="52" name="Group 52"/>
        <xdr:cNvGrpSpPr>
          <a:grpSpLocks/>
        </xdr:cNvGrpSpPr>
      </xdr:nvGrpSpPr>
      <xdr:grpSpPr>
        <a:xfrm rot="21600000">
          <a:off x="17106900" y="4876800"/>
          <a:ext cx="219075" cy="342900"/>
          <a:chOff x="267" y="282"/>
          <a:chExt cx="19" cy="38"/>
        </a:xfrm>
        <a:solidFill>
          <a:srgbClr val="FFFFFF"/>
        </a:solidFill>
      </xdr:grpSpPr>
      <xdr:sp>
        <xdr:nvSpPr>
          <xdr:cNvPr id="53" name="AutoShape 53"/>
          <xdr:cNvSpPr>
            <a:spLocks/>
          </xdr:cNvSpPr>
        </xdr:nvSpPr>
        <xdr:spPr>
          <a:xfrm>
            <a:off x="267" y="282"/>
            <a:ext cx="19" cy="19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4" name="AutoShape 54"/>
          <xdr:cNvSpPr>
            <a:spLocks/>
          </xdr:cNvSpPr>
        </xdr:nvSpPr>
        <xdr:spPr>
          <a:xfrm rot="10800000">
            <a:off x="267" y="301"/>
            <a:ext cx="19" cy="19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oneCellAnchor>
    <xdr:from>
      <xdr:col>107</xdr:col>
      <xdr:colOff>104775</xdr:colOff>
      <xdr:row>16</xdr:row>
      <xdr:rowOff>0</xdr:rowOff>
    </xdr:from>
    <xdr:ext cx="666750" cy="590550"/>
    <xdr:grpSp>
      <xdr:nvGrpSpPr>
        <xdr:cNvPr id="55" name="Group 55"/>
        <xdr:cNvGrpSpPr>
          <a:grpSpLocks/>
        </xdr:cNvGrpSpPr>
      </xdr:nvGrpSpPr>
      <xdr:grpSpPr>
        <a:xfrm rot="5400000">
          <a:off x="14373225" y="2047875"/>
          <a:ext cx="666750" cy="590550"/>
          <a:chOff x="613" y="480"/>
          <a:chExt cx="60" cy="52"/>
        </a:xfrm>
        <a:solidFill>
          <a:srgbClr val="FFFFFF"/>
        </a:solidFill>
      </xdr:grpSpPr>
      <xdr:sp>
        <xdr:nvSpPr>
          <xdr:cNvPr id="56" name="Rectangle 56"/>
          <xdr:cNvSpPr>
            <a:spLocks/>
          </xdr:cNvSpPr>
        </xdr:nvSpPr>
        <xdr:spPr>
          <a:xfrm>
            <a:off x="613" y="480"/>
            <a:ext cx="60" cy="5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7" name="Line 57"/>
          <xdr:cNvSpPr>
            <a:spLocks/>
          </xdr:cNvSpPr>
        </xdr:nvSpPr>
        <xdr:spPr>
          <a:xfrm flipV="1">
            <a:off x="613" y="485"/>
            <a:ext cx="3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 flipV="1">
            <a:off x="643" y="505"/>
            <a:ext cx="3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>
            <a:off x="643" y="485"/>
            <a:ext cx="0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41</xdr:col>
      <xdr:colOff>76200</xdr:colOff>
      <xdr:row>26</xdr:row>
      <xdr:rowOff>38100</xdr:rowOff>
    </xdr:from>
    <xdr:ext cx="657225" cy="590550"/>
    <xdr:grpSp>
      <xdr:nvGrpSpPr>
        <xdr:cNvPr id="60" name="Group 60"/>
        <xdr:cNvGrpSpPr>
          <a:grpSpLocks/>
        </xdr:cNvGrpSpPr>
      </xdr:nvGrpSpPr>
      <xdr:grpSpPr>
        <a:xfrm rot="5400000">
          <a:off x="5543550" y="3095625"/>
          <a:ext cx="657225" cy="590550"/>
          <a:chOff x="613" y="480"/>
          <a:chExt cx="60" cy="52"/>
        </a:xfrm>
        <a:solidFill>
          <a:srgbClr val="FFFFFF"/>
        </a:solidFill>
      </xdr:grpSpPr>
      <xdr:sp>
        <xdr:nvSpPr>
          <xdr:cNvPr id="61" name="Rectangle 61"/>
          <xdr:cNvSpPr>
            <a:spLocks/>
          </xdr:cNvSpPr>
        </xdr:nvSpPr>
        <xdr:spPr>
          <a:xfrm>
            <a:off x="613" y="480"/>
            <a:ext cx="60" cy="5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2" name="Line 62"/>
          <xdr:cNvSpPr>
            <a:spLocks/>
          </xdr:cNvSpPr>
        </xdr:nvSpPr>
        <xdr:spPr>
          <a:xfrm flipV="1">
            <a:off x="613" y="485"/>
            <a:ext cx="3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 flipV="1">
            <a:off x="643" y="505"/>
            <a:ext cx="3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643" y="485"/>
            <a:ext cx="0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117</xdr:col>
      <xdr:colOff>47625</xdr:colOff>
      <xdr:row>58</xdr:row>
      <xdr:rowOff>66675</xdr:rowOff>
    </xdr:from>
    <xdr:ext cx="438150" cy="666750"/>
    <xdr:grpSp>
      <xdr:nvGrpSpPr>
        <xdr:cNvPr id="65" name="Group 65"/>
        <xdr:cNvGrpSpPr>
          <a:grpSpLocks/>
        </xdr:cNvGrpSpPr>
      </xdr:nvGrpSpPr>
      <xdr:grpSpPr>
        <a:xfrm>
          <a:off x="15649575" y="6477000"/>
          <a:ext cx="438150" cy="666750"/>
          <a:chOff x="600" y="834"/>
          <a:chExt cx="39" cy="70"/>
        </a:xfrm>
        <a:solidFill>
          <a:srgbClr val="FFFFFF"/>
        </a:solidFill>
      </xdr:grpSpPr>
      <xdr:grpSp>
        <xdr:nvGrpSpPr>
          <xdr:cNvPr id="66" name="Group 66"/>
          <xdr:cNvGrpSpPr>
            <a:grpSpLocks/>
          </xdr:cNvGrpSpPr>
        </xdr:nvGrpSpPr>
        <xdr:grpSpPr>
          <a:xfrm rot="5400000">
            <a:off x="600" y="866"/>
            <a:ext cx="39" cy="37"/>
            <a:chOff x="243" y="282"/>
            <a:chExt cx="35" cy="38"/>
          </a:xfrm>
          <a:solidFill>
            <a:srgbClr val="FFFFFF"/>
          </a:solidFill>
        </xdr:grpSpPr>
        <xdr:grpSp>
          <xdr:nvGrpSpPr>
            <xdr:cNvPr id="67" name="Group 67"/>
            <xdr:cNvGrpSpPr>
              <a:grpSpLocks/>
            </xdr:cNvGrpSpPr>
          </xdr:nvGrpSpPr>
          <xdr:grpSpPr>
            <a:xfrm>
              <a:off x="259" y="282"/>
              <a:ext cx="19" cy="38"/>
              <a:chOff x="267" y="282"/>
              <a:chExt cx="19" cy="38"/>
            </a:xfrm>
            <a:solidFill>
              <a:srgbClr val="FFFFFF"/>
            </a:solidFill>
          </xdr:grpSpPr>
          <xdr:sp>
            <xdr:nvSpPr>
              <xdr:cNvPr id="68" name="AutoShape 68"/>
              <xdr:cNvSpPr>
                <a:spLocks/>
              </xdr:cNvSpPr>
            </xdr:nvSpPr>
            <xdr:spPr>
              <a:xfrm>
                <a:off x="267" y="282"/>
                <a:ext cx="19" cy="19"/>
              </a:xfrm>
              <a:prstGeom prst="flowChartMerg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69" name="AutoShape 69"/>
              <xdr:cNvSpPr>
                <a:spLocks/>
              </xdr:cNvSpPr>
            </xdr:nvSpPr>
            <xdr:spPr>
              <a:xfrm rot="10800000">
                <a:off x="267" y="301"/>
                <a:ext cx="19" cy="19"/>
              </a:xfrm>
              <a:prstGeom prst="flowChartMerg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70" name="Line 70"/>
            <xdr:cNvSpPr>
              <a:spLocks/>
            </xdr:cNvSpPr>
          </xdr:nvSpPr>
          <xdr:spPr>
            <a:xfrm>
              <a:off x="243" y="301"/>
              <a:ext cx="2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71" name="Oval 71"/>
          <xdr:cNvSpPr>
            <a:spLocks/>
          </xdr:cNvSpPr>
        </xdr:nvSpPr>
        <xdr:spPr>
          <a:xfrm rot="5400000">
            <a:off x="600" y="834"/>
            <a:ext cx="39" cy="3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latin typeface="Arial Cyr"/>
                <a:ea typeface="Arial Cyr"/>
                <a:cs typeface="Arial Cyr"/>
              </a:rPr>
              <a:t>М</a:t>
            </a:r>
          </a:p>
        </xdr:txBody>
      </xdr:sp>
    </xdr:grpSp>
    <xdr:clientData/>
  </xdr:oneCellAnchor>
  <xdr:oneCellAnchor>
    <xdr:from>
      <xdr:col>120</xdr:col>
      <xdr:colOff>76200</xdr:colOff>
      <xdr:row>37</xdr:row>
      <xdr:rowOff>76200</xdr:rowOff>
    </xdr:from>
    <xdr:ext cx="581025" cy="523875"/>
    <xdr:grpSp>
      <xdr:nvGrpSpPr>
        <xdr:cNvPr id="72" name="Group 72"/>
        <xdr:cNvGrpSpPr>
          <a:grpSpLocks/>
        </xdr:cNvGrpSpPr>
      </xdr:nvGrpSpPr>
      <xdr:grpSpPr>
        <a:xfrm rot="16200000">
          <a:off x="16078200" y="4286250"/>
          <a:ext cx="581025" cy="523875"/>
          <a:chOff x="537" y="194"/>
          <a:chExt cx="51" cy="53"/>
        </a:xfrm>
        <a:solidFill>
          <a:srgbClr val="FFFFFF"/>
        </a:solidFill>
      </xdr:grpSpPr>
      <xdr:sp>
        <xdr:nvSpPr>
          <xdr:cNvPr id="73" name="Oval 73"/>
          <xdr:cNvSpPr>
            <a:spLocks/>
          </xdr:cNvSpPr>
        </xdr:nvSpPr>
        <xdr:spPr>
          <a:xfrm rot="21600000">
            <a:off x="537" y="194"/>
            <a:ext cx="51" cy="5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4" name="AutoShape 74"/>
          <xdr:cNvSpPr>
            <a:spLocks/>
          </xdr:cNvSpPr>
        </xdr:nvSpPr>
        <xdr:spPr>
          <a:xfrm rot="27000000">
            <a:off x="566" y="210"/>
            <a:ext cx="20" cy="19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118</xdr:col>
      <xdr:colOff>76200</xdr:colOff>
      <xdr:row>51</xdr:row>
      <xdr:rowOff>38100</xdr:rowOff>
    </xdr:from>
    <xdr:ext cx="666750" cy="390525"/>
    <xdr:grpSp>
      <xdr:nvGrpSpPr>
        <xdr:cNvPr id="75" name="Group 75"/>
        <xdr:cNvGrpSpPr>
          <a:grpSpLocks/>
        </xdr:cNvGrpSpPr>
      </xdr:nvGrpSpPr>
      <xdr:grpSpPr>
        <a:xfrm rot="16200000">
          <a:off x="15811500" y="5715000"/>
          <a:ext cx="666750" cy="390525"/>
          <a:chOff x="415" y="222"/>
          <a:chExt cx="41" cy="59"/>
        </a:xfrm>
        <a:solidFill>
          <a:srgbClr val="FFFFFF"/>
        </a:solidFill>
      </xdr:grpSpPr>
      <xdr:grpSp>
        <xdr:nvGrpSpPr>
          <xdr:cNvPr id="76" name="Group 76"/>
          <xdr:cNvGrpSpPr>
            <a:grpSpLocks/>
          </xdr:cNvGrpSpPr>
        </xdr:nvGrpSpPr>
        <xdr:grpSpPr>
          <a:xfrm rot="5400000">
            <a:off x="418" y="243"/>
            <a:ext cx="38" cy="37"/>
            <a:chOff x="243" y="282"/>
            <a:chExt cx="35" cy="38"/>
          </a:xfrm>
          <a:solidFill>
            <a:srgbClr val="FFFFFF"/>
          </a:solidFill>
        </xdr:grpSpPr>
        <xdr:grpSp>
          <xdr:nvGrpSpPr>
            <xdr:cNvPr id="77" name="Group 77"/>
            <xdr:cNvGrpSpPr>
              <a:grpSpLocks/>
            </xdr:cNvGrpSpPr>
          </xdr:nvGrpSpPr>
          <xdr:grpSpPr>
            <a:xfrm>
              <a:off x="259" y="282"/>
              <a:ext cx="19" cy="38"/>
              <a:chOff x="267" y="282"/>
              <a:chExt cx="19" cy="38"/>
            </a:xfrm>
            <a:solidFill>
              <a:srgbClr val="FFFFFF"/>
            </a:solidFill>
          </xdr:grpSpPr>
          <xdr:sp>
            <xdr:nvSpPr>
              <xdr:cNvPr id="78" name="AutoShape 78"/>
              <xdr:cNvSpPr>
                <a:spLocks/>
              </xdr:cNvSpPr>
            </xdr:nvSpPr>
            <xdr:spPr>
              <a:xfrm>
                <a:off x="267" y="282"/>
                <a:ext cx="19" cy="19"/>
              </a:xfrm>
              <a:prstGeom prst="flowChartMerg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79" name="AutoShape 79"/>
              <xdr:cNvSpPr>
                <a:spLocks/>
              </xdr:cNvSpPr>
            </xdr:nvSpPr>
            <xdr:spPr>
              <a:xfrm rot="10800000">
                <a:off x="267" y="301"/>
                <a:ext cx="19" cy="19"/>
              </a:xfrm>
              <a:prstGeom prst="flowChartMerg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80" name="Line 80"/>
            <xdr:cNvSpPr>
              <a:spLocks/>
            </xdr:cNvSpPr>
          </xdr:nvSpPr>
          <xdr:spPr>
            <a:xfrm>
              <a:off x="243" y="301"/>
              <a:ext cx="2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81" name="Rectangle 81"/>
          <xdr:cNvSpPr>
            <a:spLocks/>
          </xdr:cNvSpPr>
        </xdr:nvSpPr>
        <xdr:spPr>
          <a:xfrm>
            <a:off x="415" y="222"/>
            <a:ext cx="4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114</xdr:col>
      <xdr:colOff>76200</xdr:colOff>
      <xdr:row>21</xdr:row>
      <xdr:rowOff>66675</xdr:rowOff>
    </xdr:from>
    <xdr:ext cx="600075" cy="523875"/>
    <xdr:sp>
      <xdr:nvSpPr>
        <xdr:cNvPr id="82" name="Oval 82"/>
        <xdr:cNvSpPr>
          <a:spLocks/>
        </xdr:cNvSpPr>
      </xdr:nvSpPr>
      <xdr:spPr>
        <a:xfrm>
          <a:off x="15278100" y="2638425"/>
          <a:ext cx="600075" cy="523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tI
3.1</a:t>
          </a:r>
        </a:p>
      </xdr:txBody>
    </xdr:sp>
    <xdr:clientData/>
  </xdr:oneCellAnchor>
  <xdr:oneCellAnchor>
    <xdr:from>
      <xdr:col>117</xdr:col>
      <xdr:colOff>123825</xdr:colOff>
      <xdr:row>33</xdr:row>
      <xdr:rowOff>66675</xdr:rowOff>
    </xdr:from>
    <xdr:ext cx="247650" cy="352425"/>
    <xdr:grpSp>
      <xdr:nvGrpSpPr>
        <xdr:cNvPr id="83" name="Group 83"/>
        <xdr:cNvGrpSpPr>
          <a:grpSpLocks/>
        </xdr:cNvGrpSpPr>
      </xdr:nvGrpSpPr>
      <xdr:grpSpPr>
        <a:xfrm rot="10800000">
          <a:off x="15725775" y="3857625"/>
          <a:ext cx="247650" cy="352425"/>
          <a:chOff x="1013" y="569"/>
          <a:chExt cx="22" cy="36"/>
        </a:xfrm>
        <a:solidFill>
          <a:srgbClr val="FFFFFF"/>
        </a:solidFill>
      </xdr:grpSpPr>
      <xdr:sp>
        <xdr:nvSpPr>
          <xdr:cNvPr id="84" name="AutoShape 84"/>
          <xdr:cNvSpPr>
            <a:spLocks/>
          </xdr:cNvSpPr>
        </xdr:nvSpPr>
        <xdr:spPr>
          <a:xfrm rot="21600000">
            <a:off x="1013" y="569"/>
            <a:ext cx="22" cy="18"/>
          </a:xfrm>
          <a:prstGeom prst="flowChartMerg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5" name="AutoShape 85"/>
          <xdr:cNvSpPr>
            <a:spLocks/>
          </xdr:cNvSpPr>
        </xdr:nvSpPr>
        <xdr:spPr>
          <a:xfrm rot="32400000">
            <a:off x="1013" y="587"/>
            <a:ext cx="22" cy="18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108</xdr:col>
      <xdr:colOff>0</xdr:colOff>
      <xdr:row>63</xdr:row>
      <xdr:rowOff>66675</xdr:rowOff>
    </xdr:from>
    <xdr:ext cx="609600" cy="476250"/>
    <xdr:grpSp>
      <xdr:nvGrpSpPr>
        <xdr:cNvPr id="86" name="Group 86"/>
        <xdr:cNvGrpSpPr>
          <a:grpSpLocks/>
        </xdr:cNvGrpSpPr>
      </xdr:nvGrpSpPr>
      <xdr:grpSpPr>
        <a:xfrm>
          <a:off x="14401800" y="6953250"/>
          <a:ext cx="609600" cy="476250"/>
          <a:chOff x="537" y="194"/>
          <a:chExt cx="51" cy="53"/>
        </a:xfrm>
        <a:solidFill>
          <a:srgbClr val="FFFFFF"/>
        </a:solidFill>
      </xdr:grpSpPr>
      <xdr:sp>
        <xdr:nvSpPr>
          <xdr:cNvPr id="87" name="Oval 87"/>
          <xdr:cNvSpPr>
            <a:spLocks/>
          </xdr:cNvSpPr>
        </xdr:nvSpPr>
        <xdr:spPr>
          <a:xfrm rot="21600000">
            <a:off x="537" y="194"/>
            <a:ext cx="51" cy="5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8" name="AutoShape 88"/>
          <xdr:cNvSpPr>
            <a:spLocks/>
          </xdr:cNvSpPr>
        </xdr:nvSpPr>
        <xdr:spPr>
          <a:xfrm rot="27000000">
            <a:off x="566" y="210"/>
            <a:ext cx="20" cy="19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110</xdr:col>
      <xdr:colOff>9525</xdr:colOff>
      <xdr:row>51</xdr:row>
      <xdr:rowOff>47625</xdr:rowOff>
    </xdr:from>
    <xdr:ext cx="600075" cy="381000"/>
    <xdr:grpSp>
      <xdr:nvGrpSpPr>
        <xdr:cNvPr id="89" name="Group 89"/>
        <xdr:cNvGrpSpPr>
          <a:grpSpLocks/>
        </xdr:cNvGrpSpPr>
      </xdr:nvGrpSpPr>
      <xdr:grpSpPr>
        <a:xfrm>
          <a:off x="14678025" y="5724525"/>
          <a:ext cx="600075" cy="381000"/>
          <a:chOff x="729" y="661"/>
          <a:chExt cx="53" cy="39"/>
        </a:xfrm>
        <a:solidFill>
          <a:srgbClr val="FFFFFF"/>
        </a:solidFill>
      </xdr:grpSpPr>
      <xdr:grpSp>
        <xdr:nvGrpSpPr>
          <xdr:cNvPr id="90" name="Group 90"/>
          <xdr:cNvGrpSpPr>
            <a:grpSpLocks/>
          </xdr:cNvGrpSpPr>
        </xdr:nvGrpSpPr>
        <xdr:grpSpPr>
          <a:xfrm rot="5400000">
            <a:off x="729" y="661"/>
            <a:ext cx="39" cy="38"/>
            <a:chOff x="243" y="282"/>
            <a:chExt cx="35" cy="38"/>
          </a:xfrm>
          <a:solidFill>
            <a:srgbClr val="FFFFFF"/>
          </a:solidFill>
        </xdr:grpSpPr>
        <xdr:grpSp>
          <xdr:nvGrpSpPr>
            <xdr:cNvPr id="91" name="Group 91"/>
            <xdr:cNvGrpSpPr>
              <a:grpSpLocks/>
            </xdr:cNvGrpSpPr>
          </xdr:nvGrpSpPr>
          <xdr:grpSpPr>
            <a:xfrm>
              <a:off x="259" y="282"/>
              <a:ext cx="19" cy="38"/>
              <a:chOff x="267" y="282"/>
              <a:chExt cx="19" cy="38"/>
            </a:xfrm>
            <a:solidFill>
              <a:srgbClr val="FFFFFF"/>
            </a:solidFill>
          </xdr:grpSpPr>
          <xdr:sp>
            <xdr:nvSpPr>
              <xdr:cNvPr id="92" name="AutoShape 92"/>
              <xdr:cNvSpPr>
                <a:spLocks/>
              </xdr:cNvSpPr>
            </xdr:nvSpPr>
            <xdr:spPr>
              <a:xfrm>
                <a:off x="267" y="282"/>
                <a:ext cx="19" cy="19"/>
              </a:xfrm>
              <a:prstGeom prst="flowChartMerg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93" name="AutoShape 93"/>
              <xdr:cNvSpPr>
                <a:spLocks/>
              </xdr:cNvSpPr>
            </xdr:nvSpPr>
            <xdr:spPr>
              <a:xfrm rot="10800000">
                <a:off x="267" y="301"/>
                <a:ext cx="19" cy="19"/>
              </a:xfrm>
              <a:prstGeom prst="flowChartMerg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94" name="Line 94"/>
            <xdr:cNvSpPr>
              <a:spLocks/>
            </xdr:cNvSpPr>
          </xdr:nvSpPr>
          <xdr:spPr>
            <a:xfrm>
              <a:off x="243" y="301"/>
              <a:ext cx="2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95" name="Line 95"/>
          <xdr:cNvSpPr>
            <a:spLocks/>
          </xdr:cNvSpPr>
        </xdr:nvSpPr>
        <xdr:spPr>
          <a:xfrm>
            <a:off x="748" y="661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6" name="Line 96"/>
          <xdr:cNvSpPr>
            <a:spLocks/>
          </xdr:cNvSpPr>
        </xdr:nvSpPr>
        <xdr:spPr>
          <a:xfrm>
            <a:off x="767" y="689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7" name="Line 97"/>
          <xdr:cNvSpPr>
            <a:spLocks/>
          </xdr:cNvSpPr>
        </xdr:nvSpPr>
        <xdr:spPr>
          <a:xfrm>
            <a:off x="782" y="661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110</xdr:col>
      <xdr:colOff>47625</xdr:colOff>
      <xdr:row>61</xdr:row>
      <xdr:rowOff>0</xdr:rowOff>
    </xdr:from>
    <xdr:ext cx="457200" cy="457200"/>
    <xdr:grpSp>
      <xdr:nvGrpSpPr>
        <xdr:cNvPr id="98" name="Group 98"/>
        <xdr:cNvGrpSpPr>
          <a:grpSpLocks/>
        </xdr:cNvGrpSpPr>
      </xdr:nvGrpSpPr>
      <xdr:grpSpPr>
        <a:xfrm>
          <a:off x="14716125" y="6696075"/>
          <a:ext cx="457200" cy="457200"/>
          <a:chOff x="172" y="597"/>
          <a:chExt cx="41" cy="51"/>
        </a:xfrm>
        <a:solidFill>
          <a:srgbClr val="FFFFFF"/>
        </a:solidFill>
      </xdr:grpSpPr>
      <xdr:grpSp>
        <xdr:nvGrpSpPr>
          <xdr:cNvPr id="99" name="Group 99"/>
          <xdr:cNvGrpSpPr>
            <a:grpSpLocks/>
          </xdr:cNvGrpSpPr>
        </xdr:nvGrpSpPr>
        <xdr:grpSpPr>
          <a:xfrm>
            <a:off x="172" y="597"/>
            <a:ext cx="41" cy="25"/>
            <a:chOff x="172" y="588"/>
            <a:chExt cx="41" cy="25"/>
          </a:xfrm>
          <a:solidFill>
            <a:srgbClr val="FFFFFF"/>
          </a:solidFill>
        </xdr:grpSpPr>
        <xdr:sp>
          <xdr:nvSpPr>
            <xdr:cNvPr id="100" name="Line 100"/>
            <xdr:cNvSpPr>
              <a:spLocks/>
            </xdr:cNvSpPr>
          </xdr:nvSpPr>
          <xdr:spPr>
            <a:xfrm>
              <a:off x="172" y="588"/>
              <a:ext cx="0" cy="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1" name="Line 101"/>
            <xdr:cNvSpPr>
              <a:spLocks/>
            </xdr:cNvSpPr>
          </xdr:nvSpPr>
          <xdr:spPr>
            <a:xfrm>
              <a:off x="172" y="588"/>
              <a:ext cx="4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102" name="Line 102"/>
          <xdr:cNvSpPr>
            <a:spLocks/>
          </xdr:cNvSpPr>
        </xdr:nvSpPr>
        <xdr:spPr>
          <a:xfrm>
            <a:off x="213" y="597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twoCellAnchor>
    <xdr:from>
      <xdr:col>91</xdr:col>
      <xdr:colOff>38100</xdr:colOff>
      <xdr:row>48</xdr:row>
      <xdr:rowOff>38100</xdr:rowOff>
    </xdr:from>
    <xdr:to>
      <xdr:col>94</xdr:col>
      <xdr:colOff>57150</xdr:colOff>
      <xdr:row>48</xdr:row>
      <xdr:rowOff>38100</xdr:rowOff>
    </xdr:to>
    <xdr:sp>
      <xdr:nvSpPr>
        <xdr:cNvPr id="103" name="Line 103"/>
        <xdr:cNvSpPr>
          <a:spLocks/>
        </xdr:cNvSpPr>
      </xdr:nvSpPr>
      <xdr:spPr>
        <a:xfrm flipH="1">
          <a:off x="12172950" y="54006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100</xdr:col>
      <xdr:colOff>123825</xdr:colOff>
      <xdr:row>73</xdr:row>
      <xdr:rowOff>28575</xdr:rowOff>
    </xdr:from>
    <xdr:ext cx="447675" cy="514350"/>
    <xdr:grpSp>
      <xdr:nvGrpSpPr>
        <xdr:cNvPr id="104" name="Group 104"/>
        <xdr:cNvGrpSpPr>
          <a:grpSpLocks/>
        </xdr:cNvGrpSpPr>
      </xdr:nvGrpSpPr>
      <xdr:grpSpPr>
        <a:xfrm rot="16200000">
          <a:off x="13458825" y="7867650"/>
          <a:ext cx="447675" cy="514350"/>
          <a:chOff x="729" y="661"/>
          <a:chExt cx="53" cy="39"/>
        </a:xfrm>
        <a:solidFill>
          <a:srgbClr val="FFFFFF"/>
        </a:solidFill>
      </xdr:grpSpPr>
      <xdr:grpSp>
        <xdr:nvGrpSpPr>
          <xdr:cNvPr id="105" name="Group 105"/>
          <xdr:cNvGrpSpPr>
            <a:grpSpLocks/>
          </xdr:cNvGrpSpPr>
        </xdr:nvGrpSpPr>
        <xdr:grpSpPr>
          <a:xfrm rot="5400000">
            <a:off x="729" y="661"/>
            <a:ext cx="39" cy="38"/>
            <a:chOff x="243" y="282"/>
            <a:chExt cx="35" cy="38"/>
          </a:xfrm>
          <a:solidFill>
            <a:srgbClr val="FFFFFF"/>
          </a:solidFill>
        </xdr:grpSpPr>
        <xdr:grpSp>
          <xdr:nvGrpSpPr>
            <xdr:cNvPr id="106" name="Group 106"/>
            <xdr:cNvGrpSpPr>
              <a:grpSpLocks/>
            </xdr:cNvGrpSpPr>
          </xdr:nvGrpSpPr>
          <xdr:grpSpPr>
            <a:xfrm>
              <a:off x="259" y="282"/>
              <a:ext cx="19" cy="38"/>
              <a:chOff x="267" y="282"/>
              <a:chExt cx="19" cy="38"/>
            </a:xfrm>
            <a:solidFill>
              <a:srgbClr val="FFFFFF"/>
            </a:solidFill>
          </xdr:grpSpPr>
          <xdr:sp>
            <xdr:nvSpPr>
              <xdr:cNvPr id="107" name="AutoShape 107"/>
              <xdr:cNvSpPr>
                <a:spLocks/>
              </xdr:cNvSpPr>
            </xdr:nvSpPr>
            <xdr:spPr>
              <a:xfrm>
                <a:off x="267" y="282"/>
                <a:ext cx="19" cy="19"/>
              </a:xfrm>
              <a:prstGeom prst="flowChartMerg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08" name="AutoShape 108"/>
              <xdr:cNvSpPr>
                <a:spLocks/>
              </xdr:cNvSpPr>
            </xdr:nvSpPr>
            <xdr:spPr>
              <a:xfrm rot="10800000">
                <a:off x="267" y="301"/>
                <a:ext cx="19" cy="19"/>
              </a:xfrm>
              <a:prstGeom prst="flowChartMerg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109" name="Line 109"/>
            <xdr:cNvSpPr>
              <a:spLocks/>
            </xdr:cNvSpPr>
          </xdr:nvSpPr>
          <xdr:spPr>
            <a:xfrm>
              <a:off x="243" y="301"/>
              <a:ext cx="2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110" name="Line 110"/>
          <xdr:cNvSpPr>
            <a:spLocks/>
          </xdr:cNvSpPr>
        </xdr:nvSpPr>
        <xdr:spPr>
          <a:xfrm>
            <a:off x="748" y="661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1" name="Line 111"/>
          <xdr:cNvSpPr>
            <a:spLocks/>
          </xdr:cNvSpPr>
        </xdr:nvSpPr>
        <xdr:spPr>
          <a:xfrm>
            <a:off x="767" y="689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2" name="Line 112"/>
          <xdr:cNvSpPr>
            <a:spLocks/>
          </xdr:cNvSpPr>
        </xdr:nvSpPr>
        <xdr:spPr>
          <a:xfrm>
            <a:off x="782" y="661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126</xdr:col>
      <xdr:colOff>47625</xdr:colOff>
      <xdr:row>13</xdr:row>
      <xdr:rowOff>47625</xdr:rowOff>
    </xdr:from>
    <xdr:ext cx="609600" cy="504825"/>
    <xdr:sp>
      <xdr:nvSpPr>
        <xdr:cNvPr id="113" name="Oval 113"/>
        <xdr:cNvSpPr>
          <a:spLocks/>
        </xdr:cNvSpPr>
      </xdr:nvSpPr>
      <xdr:spPr>
        <a:xfrm>
          <a:off x="16849725" y="1781175"/>
          <a:ext cx="60960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FQ
3.2</a:t>
          </a:r>
        </a:p>
      </xdr:txBody>
    </xdr:sp>
    <xdr:clientData/>
  </xdr:oneCellAnchor>
  <xdr:oneCellAnchor>
    <xdr:from>
      <xdr:col>92</xdr:col>
      <xdr:colOff>76200</xdr:colOff>
      <xdr:row>10</xdr:row>
      <xdr:rowOff>28575</xdr:rowOff>
    </xdr:from>
    <xdr:ext cx="628650" cy="523875"/>
    <xdr:grpSp>
      <xdr:nvGrpSpPr>
        <xdr:cNvPr id="114" name="Group 114"/>
        <xdr:cNvGrpSpPr>
          <a:grpSpLocks/>
        </xdr:cNvGrpSpPr>
      </xdr:nvGrpSpPr>
      <xdr:grpSpPr>
        <a:xfrm rot="10800000">
          <a:off x="12344400" y="1447800"/>
          <a:ext cx="628650" cy="523875"/>
          <a:chOff x="537" y="194"/>
          <a:chExt cx="51" cy="53"/>
        </a:xfrm>
        <a:solidFill>
          <a:srgbClr val="FFFFFF"/>
        </a:solidFill>
      </xdr:grpSpPr>
      <xdr:sp>
        <xdr:nvSpPr>
          <xdr:cNvPr id="115" name="Oval 115"/>
          <xdr:cNvSpPr>
            <a:spLocks/>
          </xdr:cNvSpPr>
        </xdr:nvSpPr>
        <xdr:spPr>
          <a:xfrm rot="21600000">
            <a:off x="537" y="194"/>
            <a:ext cx="51" cy="5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6" name="AutoShape 116"/>
          <xdr:cNvSpPr>
            <a:spLocks/>
          </xdr:cNvSpPr>
        </xdr:nvSpPr>
        <xdr:spPr>
          <a:xfrm rot="27000000">
            <a:off x="566" y="210"/>
            <a:ext cx="20" cy="19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111</xdr:col>
      <xdr:colOff>123825</xdr:colOff>
      <xdr:row>32</xdr:row>
      <xdr:rowOff>9525</xdr:rowOff>
    </xdr:from>
    <xdr:ext cx="447675" cy="800100"/>
    <xdr:grpSp>
      <xdr:nvGrpSpPr>
        <xdr:cNvPr id="117" name="Group 117"/>
        <xdr:cNvGrpSpPr>
          <a:grpSpLocks/>
        </xdr:cNvGrpSpPr>
      </xdr:nvGrpSpPr>
      <xdr:grpSpPr>
        <a:xfrm rot="10800000">
          <a:off x="14925675" y="3695700"/>
          <a:ext cx="447675" cy="800100"/>
          <a:chOff x="1080" y="128"/>
          <a:chExt cx="39" cy="81"/>
        </a:xfrm>
        <a:solidFill>
          <a:srgbClr val="FFFFFF"/>
        </a:solidFill>
      </xdr:grpSpPr>
      <xdr:grpSp>
        <xdr:nvGrpSpPr>
          <xdr:cNvPr id="118" name="Group 118"/>
          <xdr:cNvGrpSpPr>
            <a:grpSpLocks/>
          </xdr:cNvGrpSpPr>
        </xdr:nvGrpSpPr>
        <xdr:grpSpPr>
          <a:xfrm>
            <a:off x="1080" y="128"/>
            <a:ext cx="39" cy="63"/>
            <a:chOff x="1135" y="132"/>
            <a:chExt cx="39" cy="63"/>
          </a:xfrm>
          <a:solidFill>
            <a:srgbClr val="FFFFFF"/>
          </a:solidFill>
        </xdr:grpSpPr>
        <xdr:sp>
          <xdr:nvSpPr>
            <xdr:cNvPr id="119" name="Line 119"/>
            <xdr:cNvSpPr>
              <a:spLocks/>
            </xdr:cNvSpPr>
          </xdr:nvSpPr>
          <xdr:spPr>
            <a:xfrm rot="5400000">
              <a:off x="1142" y="181"/>
              <a:ext cx="2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0" name="Oval 120"/>
            <xdr:cNvSpPr>
              <a:spLocks/>
            </xdr:cNvSpPr>
          </xdr:nvSpPr>
          <xdr:spPr>
            <a:xfrm rot="5400000">
              <a:off x="1135" y="132"/>
              <a:ext cx="39" cy="39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0" i="0" u="none" baseline="0">
                  <a:latin typeface="Arial Cyr"/>
                  <a:ea typeface="Arial Cyr"/>
                  <a:cs typeface="Arial Cyr"/>
                </a:rPr>
                <a:t>М</a:t>
              </a:r>
            </a:p>
          </xdr:txBody>
        </xdr:sp>
      </xdr:grpSp>
      <xdr:grpSp>
        <xdr:nvGrpSpPr>
          <xdr:cNvPr id="121" name="Group 121"/>
          <xdr:cNvGrpSpPr>
            <a:grpSpLocks/>
          </xdr:cNvGrpSpPr>
        </xdr:nvGrpSpPr>
        <xdr:grpSpPr>
          <a:xfrm>
            <a:off x="1083" y="181"/>
            <a:ext cx="35" cy="28"/>
            <a:chOff x="1083" y="181"/>
            <a:chExt cx="35" cy="28"/>
          </a:xfrm>
          <a:solidFill>
            <a:srgbClr val="FFFFFF"/>
          </a:solidFill>
        </xdr:grpSpPr>
        <xdr:sp>
          <xdr:nvSpPr>
            <xdr:cNvPr id="122" name="AutoShape 122"/>
            <xdr:cNvSpPr>
              <a:spLocks/>
            </xdr:cNvSpPr>
          </xdr:nvSpPr>
          <xdr:spPr>
            <a:xfrm>
              <a:off x="1091" y="192"/>
              <a:ext cx="20" cy="17"/>
            </a:xfrm>
            <a:prstGeom prst="triangl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3" name="AutoShape 123"/>
            <xdr:cNvSpPr>
              <a:spLocks/>
            </xdr:cNvSpPr>
          </xdr:nvSpPr>
          <xdr:spPr>
            <a:xfrm rot="16200000">
              <a:off x="1101" y="181"/>
              <a:ext cx="17" cy="20"/>
            </a:xfrm>
            <a:prstGeom prst="triangl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4" name="AutoShape 124"/>
            <xdr:cNvSpPr>
              <a:spLocks/>
            </xdr:cNvSpPr>
          </xdr:nvSpPr>
          <xdr:spPr>
            <a:xfrm rot="5400000">
              <a:off x="1083" y="182"/>
              <a:ext cx="20" cy="17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oneCellAnchor>
  <xdr:oneCellAnchor>
    <xdr:from>
      <xdr:col>95</xdr:col>
      <xdr:colOff>123825</xdr:colOff>
      <xdr:row>49</xdr:row>
      <xdr:rowOff>0</xdr:rowOff>
    </xdr:from>
    <xdr:ext cx="666750" cy="400050"/>
    <xdr:grpSp>
      <xdr:nvGrpSpPr>
        <xdr:cNvPr id="125" name="Group 125"/>
        <xdr:cNvGrpSpPr>
          <a:grpSpLocks/>
        </xdr:cNvGrpSpPr>
      </xdr:nvGrpSpPr>
      <xdr:grpSpPr>
        <a:xfrm rot="16200000">
          <a:off x="12792075" y="5467350"/>
          <a:ext cx="666750" cy="400050"/>
          <a:chOff x="415" y="222"/>
          <a:chExt cx="41" cy="59"/>
        </a:xfrm>
        <a:solidFill>
          <a:srgbClr val="FFFFFF"/>
        </a:solidFill>
      </xdr:grpSpPr>
      <xdr:grpSp>
        <xdr:nvGrpSpPr>
          <xdr:cNvPr id="126" name="Group 126"/>
          <xdr:cNvGrpSpPr>
            <a:grpSpLocks/>
          </xdr:cNvGrpSpPr>
        </xdr:nvGrpSpPr>
        <xdr:grpSpPr>
          <a:xfrm rot="5400000">
            <a:off x="418" y="243"/>
            <a:ext cx="38" cy="37"/>
            <a:chOff x="243" y="282"/>
            <a:chExt cx="35" cy="38"/>
          </a:xfrm>
          <a:solidFill>
            <a:srgbClr val="FFFFFF"/>
          </a:solidFill>
        </xdr:grpSpPr>
        <xdr:grpSp>
          <xdr:nvGrpSpPr>
            <xdr:cNvPr id="127" name="Group 127"/>
            <xdr:cNvGrpSpPr>
              <a:grpSpLocks/>
            </xdr:cNvGrpSpPr>
          </xdr:nvGrpSpPr>
          <xdr:grpSpPr>
            <a:xfrm>
              <a:off x="259" y="282"/>
              <a:ext cx="19" cy="38"/>
              <a:chOff x="267" y="282"/>
              <a:chExt cx="19" cy="38"/>
            </a:xfrm>
            <a:solidFill>
              <a:srgbClr val="FFFFFF"/>
            </a:solidFill>
          </xdr:grpSpPr>
          <xdr:sp>
            <xdr:nvSpPr>
              <xdr:cNvPr id="128" name="AutoShape 128"/>
              <xdr:cNvSpPr>
                <a:spLocks/>
              </xdr:cNvSpPr>
            </xdr:nvSpPr>
            <xdr:spPr>
              <a:xfrm>
                <a:off x="267" y="282"/>
                <a:ext cx="19" cy="19"/>
              </a:xfrm>
              <a:prstGeom prst="flowChartMerg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29" name="AutoShape 129"/>
              <xdr:cNvSpPr>
                <a:spLocks/>
              </xdr:cNvSpPr>
            </xdr:nvSpPr>
            <xdr:spPr>
              <a:xfrm rot="10800000">
                <a:off x="267" y="301"/>
                <a:ext cx="19" cy="19"/>
              </a:xfrm>
              <a:prstGeom prst="flowChartMerg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130" name="Line 130"/>
            <xdr:cNvSpPr>
              <a:spLocks/>
            </xdr:cNvSpPr>
          </xdr:nvSpPr>
          <xdr:spPr>
            <a:xfrm>
              <a:off x="243" y="301"/>
              <a:ext cx="2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131" name="Rectangle 131"/>
          <xdr:cNvSpPr>
            <a:spLocks/>
          </xdr:cNvSpPr>
        </xdr:nvSpPr>
        <xdr:spPr>
          <a:xfrm>
            <a:off x="415" y="222"/>
            <a:ext cx="4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110</xdr:col>
      <xdr:colOff>38100</xdr:colOff>
      <xdr:row>45</xdr:row>
      <xdr:rowOff>66675</xdr:rowOff>
    </xdr:from>
    <xdr:ext cx="800100" cy="381000"/>
    <xdr:grpSp>
      <xdr:nvGrpSpPr>
        <xdr:cNvPr id="132" name="Group 132"/>
        <xdr:cNvGrpSpPr>
          <a:grpSpLocks/>
        </xdr:cNvGrpSpPr>
      </xdr:nvGrpSpPr>
      <xdr:grpSpPr>
        <a:xfrm>
          <a:off x="14706600" y="5114925"/>
          <a:ext cx="800100" cy="381000"/>
          <a:chOff x="844" y="551"/>
          <a:chExt cx="71" cy="40"/>
        </a:xfrm>
        <a:solidFill>
          <a:srgbClr val="FFFFFF"/>
        </a:solidFill>
      </xdr:grpSpPr>
      <xdr:grpSp>
        <xdr:nvGrpSpPr>
          <xdr:cNvPr id="133" name="Group 133"/>
          <xdr:cNvGrpSpPr>
            <a:grpSpLocks/>
          </xdr:cNvGrpSpPr>
        </xdr:nvGrpSpPr>
        <xdr:grpSpPr>
          <a:xfrm rot="5400000">
            <a:off x="899" y="564"/>
            <a:ext cx="22" cy="10"/>
            <a:chOff x="1025" y="215"/>
            <a:chExt cx="22" cy="10"/>
          </a:xfrm>
          <a:solidFill>
            <a:srgbClr val="FFFFFF"/>
          </a:solidFill>
        </xdr:grpSpPr>
        <xdr:sp>
          <xdr:nvSpPr>
            <xdr:cNvPr id="134" name="AutoShape 134"/>
            <xdr:cNvSpPr>
              <a:spLocks/>
            </xdr:cNvSpPr>
          </xdr:nvSpPr>
          <xdr:spPr>
            <a:xfrm flipV="1">
              <a:off x="1025" y="215"/>
              <a:ext cx="22" cy="10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5" name="Oval 135"/>
            <xdr:cNvSpPr>
              <a:spLocks/>
            </xdr:cNvSpPr>
          </xdr:nvSpPr>
          <xdr:spPr>
            <a:xfrm rot="16200000">
              <a:off x="1032" y="216"/>
              <a:ext cx="8" cy="8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6" name="Group 136"/>
          <xdr:cNvGrpSpPr>
            <a:grpSpLocks/>
          </xdr:cNvGrpSpPr>
        </xdr:nvGrpSpPr>
        <xdr:grpSpPr>
          <a:xfrm rot="16200000">
            <a:off x="844" y="551"/>
            <a:ext cx="61" cy="40"/>
            <a:chOff x="1060" y="208"/>
            <a:chExt cx="39" cy="60"/>
          </a:xfrm>
          <a:solidFill>
            <a:srgbClr val="FFFFFF"/>
          </a:solidFill>
        </xdr:grpSpPr>
        <xdr:sp>
          <xdr:nvSpPr>
            <xdr:cNvPr id="137" name="AutoShape 137"/>
            <xdr:cNvSpPr>
              <a:spLocks/>
            </xdr:cNvSpPr>
          </xdr:nvSpPr>
          <xdr:spPr>
            <a:xfrm>
              <a:off x="1080" y="240"/>
              <a:ext cx="1" cy="28"/>
            </a:xfrm>
            <a:custGeom>
              <a:pathLst>
                <a:path h="28" w="1">
                  <a:moveTo>
                    <a:pt x="0" y="0"/>
                  </a:moveTo>
                  <a:lnTo>
                    <a:pt x="0" y="28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8" name="Oval 138"/>
            <xdr:cNvSpPr>
              <a:spLocks/>
            </xdr:cNvSpPr>
          </xdr:nvSpPr>
          <xdr:spPr>
            <a:xfrm rot="5400000">
              <a:off x="1060" y="208"/>
              <a:ext cx="39" cy="39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0" i="0" u="none" baseline="0">
                  <a:latin typeface="Arial Cyr"/>
                  <a:ea typeface="Arial Cyr"/>
                  <a:cs typeface="Arial Cyr"/>
                </a:rPr>
                <a:t>М ММ МММ</a:t>
              </a: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
8
10</a:t>
              </a:r>
            </a:p>
          </xdr:txBody>
        </xdr:sp>
      </xdr:grpSp>
    </xdr:grpSp>
    <xdr:clientData/>
  </xdr:oneCellAnchor>
  <xdr:oneCellAnchor>
    <xdr:from>
      <xdr:col>114</xdr:col>
      <xdr:colOff>38100</xdr:colOff>
      <xdr:row>10</xdr:row>
      <xdr:rowOff>28575</xdr:rowOff>
    </xdr:from>
    <xdr:ext cx="600075" cy="504825"/>
    <xdr:sp>
      <xdr:nvSpPr>
        <xdr:cNvPr id="139" name="Oval 139"/>
        <xdr:cNvSpPr>
          <a:spLocks/>
        </xdr:cNvSpPr>
      </xdr:nvSpPr>
      <xdr:spPr>
        <a:xfrm>
          <a:off x="15240000" y="1447800"/>
          <a:ext cx="600075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pI
1</a:t>
          </a:r>
        </a:p>
      </xdr:txBody>
    </xdr:sp>
    <xdr:clientData/>
  </xdr:oneCellAnchor>
  <xdr:twoCellAnchor>
    <xdr:from>
      <xdr:col>108</xdr:col>
      <xdr:colOff>123825</xdr:colOff>
      <xdr:row>28</xdr:row>
      <xdr:rowOff>85725</xdr:rowOff>
    </xdr:from>
    <xdr:to>
      <xdr:col>112</xdr:col>
      <xdr:colOff>9525</xdr:colOff>
      <xdr:row>28</xdr:row>
      <xdr:rowOff>85725</xdr:rowOff>
    </xdr:to>
    <xdr:sp>
      <xdr:nvSpPr>
        <xdr:cNvPr id="140" name="Line 140"/>
        <xdr:cNvSpPr>
          <a:spLocks/>
        </xdr:cNvSpPr>
      </xdr:nvSpPr>
      <xdr:spPr>
        <a:xfrm rot="10800000" flipH="1">
          <a:off x="14525625" y="33528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95</xdr:col>
      <xdr:colOff>123825</xdr:colOff>
      <xdr:row>53</xdr:row>
      <xdr:rowOff>66675</xdr:rowOff>
    </xdr:from>
    <xdr:ext cx="447675" cy="771525"/>
    <xdr:grpSp>
      <xdr:nvGrpSpPr>
        <xdr:cNvPr id="141" name="Group 141"/>
        <xdr:cNvGrpSpPr>
          <a:grpSpLocks/>
        </xdr:cNvGrpSpPr>
      </xdr:nvGrpSpPr>
      <xdr:grpSpPr>
        <a:xfrm rot="10800000">
          <a:off x="12792075" y="5953125"/>
          <a:ext cx="447675" cy="771525"/>
          <a:chOff x="593" y="256"/>
          <a:chExt cx="39" cy="80"/>
        </a:xfrm>
        <a:solidFill>
          <a:srgbClr val="FFFFFF"/>
        </a:solidFill>
      </xdr:grpSpPr>
      <xdr:sp>
        <xdr:nvSpPr>
          <xdr:cNvPr id="142" name="Line 142"/>
          <xdr:cNvSpPr>
            <a:spLocks/>
          </xdr:cNvSpPr>
        </xdr:nvSpPr>
        <xdr:spPr>
          <a:xfrm rot="5400000">
            <a:off x="600" y="305"/>
            <a:ext cx="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3" name="Oval 143"/>
          <xdr:cNvSpPr>
            <a:spLocks/>
          </xdr:cNvSpPr>
        </xdr:nvSpPr>
        <xdr:spPr>
          <a:xfrm rot="5400000">
            <a:off x="593" y="256"/>
            <a:ext cx="39" cy="3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latin typeface="Arial Cyr"/>
                <a:ea typeface="Arial Cyr"/>
                <a:cs typeface="Arial Cyr"/>
              </a:rPr>
              <a:t>М</a:t>
            </a:r>
          </a:p>
        </xdr:txBody>
      </xdr:sp>
      <xdr:grpSp>
        <xdr:nvGrpSpPr>
          <xdr:cNvPr id="144" name="Group 144"/>
          <xdr:cNvGrpSpPr>
            <a:grpSpLocks/>
          </xdr:cNvGrpSpPr>
        </xdr:nvGrpSpPr>
        <xdr:grpSpPr>
          <a:xfrm>
            <a:off x="595" y="308"/>
            <a:ext cx="35" cy="28"/>
            <a:chOff x="587" y="308"/>
            <a:chExt cx="35" cy="28"/>
          </a:xfrm>
          <a:solidFill>
            <a:srgbClr val="FFFFFF"/>
          </a:solidFill>
        </xdr:grpSpPr>
        <xdr:sp>
          <xdr:nvSpPr>
            <xdr:cNvPr id="145" name="AutoShape 145"/>
            <xdr:cNvSpPr>
              <a:spLocks/>
            </xdr:cNvSpPr>
          </xdr:nvSpPr>
          <xdr:spPr>
            <a:xfrm>
              <a:off x="595" y="319"/>
              <a:ext cx="20" cy="17"/>
            </a:xfrm>
            <a:prstGeom prst="triangl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46" name="AutoShape 146"/>
            <xdr:cNvSpPr>
              <a:spLocks/>
            </xdr:cNvSpPr>
          </xdr:nvSpPr>
          <xdr:spPr>
            <a:xfrm rot="5400000">
              <a:off x="587" y="309"/>
              <a:ext cx="20" cy="17"/>
            </a:xfrm>
            <a:prstGeom prst="triangl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47" name="AutoShape 147"/>
            <xdr:cNvSpPr>
              <a:spLocks/>
            </xdr:cNvSpPr>
          </xdr:nvSpPr>
          <xdr:spPr>
            <a:xfrm rot="16200000">
              <a:off x="605" y="308"/>
              <a:ext cx="17" cy="20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oneCellAnchor>
  <xdr:oneCellAnchor>
    <xdr:from>
      <xdr:col>99</xdr:col>
      <xdr:colOff>9525</xdr:colOff>
      <xdr:row>5</xdr:row>
      <xdr:rowOff>9525</xdr:rowOff>
    </xdr:from>
    <xdr:ext cx="628650" cy="1276350"/>
    <xdr:grpSp>
      <xdr:nvGrpSpPr>
        <xdr:cNvPr id="148" name="Group 148"/>
        <xdr:cNvGrpSpPr>
          <a:grpSpLocks/>
        </xdr:cNvGrpSpPr>
      </xdr:nvGrpSpPr>
      <xdr:grpSpPr>
        <a:xfrm>
          <a:off x="13211175" y="904875"/>
          <a:ext cx="628650" cy="1276350"/>
          <a:chOff x="795" y="451"/>
          <a:chExt cx="56" cy="133"/>
        </a:xfrm>
        <a:solidFill>
          <a:srgbClr val="FFFFFF"/>
        </a:solidFill>
      </xdr:grpSpPr>
      <xdr:sp>
        <xdr:nvSpPr>
          <xdr:cNvPr id="149" name="Oval 149"/>
          <xdr:cNvSpPr>
            <a:spLocks/>
          </xdr:cNvSpPr>
        </xdr:nvSpPr>
        <xdr:spPr>
          <a:xfrm>
            <a:off x="795" y="451"/>
            <a:ext cx="56" cy="3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0" name="Oval 150"/>
          <xdr:cNvSpPr>
            <a:spLocks/>
          </xdr:cNvSpPr>
        </xdr:nvSpPr>
        <xdr:spPr>
          <a:xfrm>
            <a:off x="795" y="549"/>
            <a:ext cx="56" cy="3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1" name="Rectangle 151"/>
          <xdr:cNvSpPr>
            <a:spLocks/>
          </xdr:cNvSpPr>
        </xdr:nvSpPr>
        <xdr:spPr>
          <a:xfrm>
            <a:off x="795" y="468"/>
            <a:ext cx="56" cy="9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87</xdr:col>
      <xdr:colOff>104775</xdr:colOff>
      <xdr:row>18</xdr:row>
      <xdr:rowOff>47625</xdr:rowOff>
    </xdr:from>
    <xdr:ext cx="619125" cy="533400"/>
    <xdr:grpSp>
      <xdr:nvGrpSpPr>
        <xdr:cNvPr id="152" name="Group 152"/>
        <xdr:cNvGrpSpPr>
          <a:grpSpLocks/>
        </xdr:cNvGrpSpPr>
      </xdr:nvGrpSpPr>
      <xdr:grpSpPr>
        <a:xfrm rot="10800000">
          <a:off x="11706225" y="2305050"/>
          <a:ext cx="619125" cy="533400"/>
          <a:chOff x="537" y="194"/>
          <a:chExt cx="51" cy="53"/>
        </a:xfrm>
        <a:solidFill>
          <a:srgbClr val="FFFFFF"/>
        </a:solidFill>
      </xdr:grpSpPr>
      <xdr:sp>
        <xdr:nvSpPr>
          <xdr:cNvPr id="153" name="Oval 153"/>
          <xdr:cNvSpPr>
            <a:spLocks/>
          </xdr:cNvSpPr>
        </xdr:nvSpPr>
        <xdr:spPr>
          <a:xfrm rot="21600000">
            <a:off x="537" y="194"/>
            <a:ext cx="51" cy="5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4" name="AutoShape 154"/>
          <xdr:cNvSpPr>
            <a:spLocks/>
          </xdr:cNvSpPr>
        </xdr:nvSpPr>
        <xdr:spPr>
          <a:xfrm rot="27000000">
            <a:off x="566" y="210"/>
            <a:ext cx="20" cy="19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103</xdr:col>
      <xdr:colOff>123825</xdr:colOff>
      <xdr:row>37</xdr:row>
      <xdr:rowOff>0</xdr:rowOff>
    </xdr:from>
    <xdr:ext cx="219075" cy="190500"/>
    <xdr:sp>
      <xdr:nvSpPr>
        <xdr:cNvPr id="155" name="AutoShape 155"/>
        <xdr:cNvSpPr>
          <a:spLocks/>
        </xdr:cNvSpPr>
      </xdr:nvSpPr>
      <xdr:spPr>
        <a:xfrm rot="5400000">
          <a:off x="13858875" y="4210050"/>
          <a:ext cx="219075" cy="19050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32</xdr:col>
      <xdr:colOff>66675</xdr:colOff>
      <xdr:row>17</xdr:row>
      <xdr:rowOff>38100</xdr:rowOff>
    </xdr:from>
    <xdr:ext cx="676275" cy="581025"/>
    <xdr:grpSp>
      <xdr:nvGrpSpPr>
        <xdr:cNvPr id="156" name="Group 156"/>
        <xdr:cNvGrpSpPr>
          <a:grpSpLocks/>
        </xdr:cNvGrpSpPr>
      </xdr:nvGrpSpPr>
      <xdr:grpSpPr>
        <a:xfrm rot="5400000">
          <a:off x="4333875" y="2190750"/>
          <a:ext cx="676275" cy="581025"/>
          <a:chOff x="613" y="480"/>
          <a:chExt cx="60" cy="52"/>
        </a:xfrm>
        <a:solidFill>
          <a:srgbClr val="FFFFFF"/>
        </a:solidFill>
      </xdr:grpSpPr>
      <xdr:sp>
        <xdr:nvSpPr>
          <xdr:cNvPr id="157" name="Rectangle 157"/>
          <xdr:cNvSpPr>
            <a:spLocks/>
          </xdr:cNvSpPr>
        </xdr:nvSpPr>
        <xdr:spPr>
          <a:xfrm>
            <a:off x="613" y="480"/>
            <a:ext cx="60" cy="5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8" name="Line 158"/>
          <xdr:cNvSpPr>
            <a:spLocks/>
          </xdr:cNvSpPr>
        </xdr:nvSpPr>
        <xdr:spPr>
          <a:xfrm flipV="1">
            <a:off x="613" y="485"/>
            <a:ext cx="3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9" name="Line 159"/>
          <xdr:cNvSpPr>
            <a:spLocks/>
          </xdr:cNvSpPr>
        </xdr:nvSpPr>
        <xdr:spPr>
          <a:xfrm flipV="1">
            <a:off x="643" y="505"/>
            <a:ext cx="3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0" name="Line 160"/>
          <xdr:cNvSpPr>
            <a:spLocks/>
          </xdr:cNvSpPr>
        </xdr:nvSpPr>
        <xdr:spPr>
          <a:xfrm>
            <a:off x="643" y="485"/>
            <a:ext cx="0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95</xdr:col>
      <xdr:colOff>0</xdr:colOff>
      <xdr:row>24</xdr:row>
      <xdr:rowOff>66675</xdr:rowOff>
    </xdr:from>
    <xdr:ext cx="581025" cy="523875"/>
    <xdr:grpSp>
      <xdr:nvGrpSpPr>
        <xdr:cNvPr id="161" name="Group 161"/>
        <xdr:cNvGrpSpPr>
          <a:grpSpLocks/>
        </xdr:cNvGrpSpPr>
      </xdr:nvGrpSpPr>
      <xdr:grpSpPr>
        <a:xfrm rot="5400000">
          <a:off x="12668250" y="2933700"/>
          <a:ext cx="581025" cy="523875"/>
          <a:chOff x="537" y="194"/>
          <a:chExt cx="51" cy="53"/>
        </a:xfrm>
        <a:solidFill>
          <a:srgbClr val="FFFFFF"/>
        </a:solidFill>
      </xdr:grpSpPr>
      <xdr:sp>
        <xdr:nvSpPr>
          <xdr:cNvPr id="162" name="Oval 162"/>
          <xdr:cNvSpPr>
            <a:spLocks/>
          </xdr:cNvSpPr>
        </xdr:nvSpPr>
        <xdr:spPr>
          <a:xfrm rot="21600000">
            <a:off x="537" y="194"/>
            <a:ext cx="51" cy="5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3" name="AutoShape 163"/>
          <xdr:cNvSpPr>
            <a:spLocks/>
          </xdr:cNvSpPr>
        </xdr:nvSpPr>
        <xdr:spPr>
          <a:xfrm rot="27000000">
            <a:off x="566" y="210"/>
            <a:ext cx="20" cy="19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103</xdr:col>
      <xdr:colOff>123825</xdr:colOff>
      <xdr:row>45</xdr:row>
      <xdr:rowOff>0</xdr:rowOff>
    </xdr:from>
    <xdr:ext cx="219075" cy="209550"/>
    <xdr:sp>
      <xdr:nvSpPr>
        <xdr:cNvPr id="164" name="AutoShape 164"/>
        <xdr:cNvSpPr>
          <a:spLocks/>
        </xdr:cNvSpPr>
      </xdr:nvSpPr>
      <xdr:spPr>
        <a:xfrm rot="16200000">
          <a:off x="13858875" y="5048250"/>
          <a:ext cx="219075" cy="2095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46</xdr:col>
      <xdr:colOff>85725</xdr:colOff>
      <xdr:row>7</xdr:row>
      <xdr:rowOff>66675</xdr:rowOff>
    </xdr:from>
    <xdr:ext cx="628650" cy="523875"/>
    <xdr:grpSp>
      <xdr:nvGrpSpPr>
        <xdr:cNvPr id="165" name="Group 165"/>
        <xdr:cNvGrpSpPr>
          <a:grpSpLocks/>
        </xdr:cNvGrpSpPr>
      </xdr:nvGrpSpPr>
      <xdr:grpSpPr>
        <a:xfrm>
          <a:off x="6219825" y="1171575"/>
          <a:ext cx="628650" cy="523875"/>
          <a:chOff x="537" y="194"/>
          <a:chExt cx="51" cy="53"/>
        </a:xfrm>
        <a:solidFill>
          <a:srgbClr val="FFFFFF"/>
        </a:solidFill>
      </xdr:grpSpPr>
      <xdr:sp>
        <xdr:nvSpPr>
          <xdr:cNvPr id="166" name="Oval 166"/>
          <xdr:cNvSpPr>
            <a:spLocks/>
          </xdr:cNvSpPr>
        </xdr:nvSpPr>
        <xdr:spPr>
          <a:xfrm rot="21600000">
            <a:off x="537" y="194"/>
            <a:ext cx="51" cy="5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7" name="AutoShape 167"/>
          <xdr:cNvSpPr>
            <a:spLocks/>
          </xdr:cNvSpPr>
        </xdr:nvSpPr>
        <xdr:spPr>
          <a:xfrm rot="27000000">
            <a:off x="566" y="210"/>
            <a:ext cx="20" cy="19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100</xdr:col>
      <xdr:colOff>123825</xdr:colOff>
      <xdr:row>60</xdr:row>
      <xdr:rowOff>38100</xdr:rowOff>
    </xdr:from>
    <xdr:ext cx="619125" cy="485775"/>
    <xdr:grpSp>
      <xdr:nvGrpSpPr>
        <xdr:cNvPr id="168" name="Group 168"/>
        <xdr:cNvGrpSpPr>
          <a:grpSpLocks/>
        </xdr:cNvGrpSpPr>
      </xdr:nvGrpSpPr>
      <xdr:grpSpPr>
        <a:xfrm rot="10800000">
          <a:off x="13458825" y="6638925"/>
          <a:ext cx="619125" cy="485775"/>
          <a:chOff x="537" y="194"/>
          <a:chExt cx="51" cy="53"/>
        </a:xfrm>
        <a:solidFill>
          <a:srgbClr val="FFFFFF"/>
        </a:solidFill>
      </xdr:grpSpPr>
      <xdr:sp>
        <xdr:nvSpPr>
          <xdr:cNvPr id="169" name="Oval 169"/>
          <xdr:cNvSpPr>
            <a:spLocks/>
          </xdr:cNvSpPr>
        </xdr:nvSpPr>
        <xdr:spPr>
          <a:xfrm rot="21600000">
            <a:off x="537" y="194"/>
            <a:ext cx="51" cy="5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0" name="AutoShape 170"/>
          <xdr:cNvSpPr>
            <a:spLocks/>
          </xdr:cNvSpPr>
        </xdr:nvSpPr>
        <xdr:spPr>
          <a:xfrm rot="27000000">
            <a:off x="566" y="210"/>
            <a:ext cx="20" cy="19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42</xdr:col>
      <xdr:colOff>85725</xdr:colOff>
      <xdr:row>56</xdr:row>
      <xdr:rowOff>9525</xdr:rowOff>
    </xdr:from>
    <xdr:ext cx="0" cy="342900"/>
    <xdr:sp>
      <xdr:nvSpPr>
        <xdr:cNvPr id="171" name="Line 171"/>
        <xdr:cNvSpPr>
          <a:spLocks/>
        </xdr:cNvSpPr>
      </xdr:nvSpPr>
      <xdr:spPr>
        <a:xfrm rot="5400000" flipH="1">
          <a:off x="5686425" y="62103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123825</xdr:colOff>
      <xdr:row>28</xdr:row>
      <xdr:rowOff>85725</xdr:rowOff>
    </xdr:from>
    <xdr:ext cx="581025" cy="523875"/>
    <xdr:grpSp>
      <xdr:nvGrpSpPr>
        <xdr:cNvPr id="172" name="Group 172"/>
        <xdr:cNvGrpSpPr>
          <a:grpSpLocks/>
        </xdr:cNvGrpSpPr>
      </xdr:nvGrpSpPr>
      <xdr:grpSpPr>
        <a:xfrm rot="16200000">
          <a:off x="257175" y="3352800"/>
          <a:ext cx="581025" cy="523875"/>
          <a:chOff x="537" y="194"/>
          <a:chExt cx="51" cy="53"/>
        </a:xfrm>
        <a:solidFill>
          <a:srgbClr val="FFFFFF"/>
        </a:solidFill>
      </xdr:grpSpPr>
      <xdr:sp>
        <xdr:nvSpPr>
          <xdr:cNvPr id="173" name="Oval 173"/>
          <xdr:cNvSpPr>
            <a:spLocks/>
          </xdr:cNvSpPr>
        </xdr:nvSpPr>
        <xdr:spPr>
          <a:xfrm rot="21600000">
            <a:off x="537" y="194"/>
            <a:ext cx="51" cy="5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4" name="AutoShape 174"/>
          <xdr:cNvSpPr>
            <a:spLocks/>
          </xdr:cNvSpPr>
        </xdr:nvSpPr>
        <xdr:spPr>
          <a:xfrm rot="27000000">
            <a:off x="566" y="210"/>
            <a:ext cx="20" cy="19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99</xdr:col>
      <xdr:colOff>38100</xdr:colOff>
      <xdr:row>54</xdr:row>
      <xdr:rowOff>28575</xdr:rowOff>
    </xdr:from>
    <xdr:ext cx="885825" cy="390525"/>
    <xdr:grpSp>
      <xdr:nvGrpSpPr>
        <xdr:cNvPr id="175" name="Group 175"/>
        <xdr:cNvGrpSpPr>
          <a:grpSpLocks/>
        </xdr:cNvGrpSpPr>
      </xdr:nvGrpSpPr>
      <xdr:grpSpPr>
        <a:xfrm rot="16200000">
          <a:off x="13239750" y="6019800"/>
          <a:ext cx="885825" cy="390525"/>
          <a:chOff x="593" y="256"/>
          <a:chExt cx="39" cy="80"/>
        </a:xfrm>
        <a:solidFill>
          <a:srgbClr val="FFFFFF"/>
        </a:solidFill>
      </xdr:grpSpPr>
      <xdr:sp>
        <xdr:nvSpPr>
          <xdr:cNvPr id="176" name="Line 176"/>
          <xdr:cNvSpPr>
            <a:spLocks/>
          </xdr:cNvSpPr>
        </xdr:nvSpPr>
        <xdr:spPr>
          <a:xfrm rot="5400000">
            <a:off x="600" y="305"/>
            <a:ext cx="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7" name="Oval 177"/>
          <xdr:cNvSpPr>
            <a:spLocks/>
          </xdr:cNvSpPr>
        </xdr:nvSpPr>
        <xdr:spPr>
          <a:xfrm rot="5400000">
            <a:off x="593" y="256"/>
            <a:ext cx="39" cy="3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latin typeface="Arial Cyr"/>
                <a:ea typeface="Arial Cyr"/>
                <a:cs typeface="Arial Cyr"/>
              </a:rPr>
              <a:t>М</a:t>
            </a:r>
          </a:p>
        </xdr:txBody>
      </xdr:sp>
      <xdr:grpSp>
        <xdr:nvGrpSpPr>
          <xdr:cNvPr id="178" name="Group 178"/>
          <xdr:cNvGrpSpPr>
            <a:grpSpLocks/>
          </xdr:cNvGrpSpPr>
        </xdr:nvGrpSpPr>
        <xdr:grpSpPr>
          <a:xfrm>
            <a:off x="595" y="308"/>
            <a:ext cx="35" cy="28"/>
            <a:chOff x="587" y="308"/>
            <a:chExt cx="35" cy="28"/>
          </a:xfrm>
          <a:solidFill>
            <a:srgbClr val="FFFFFF"/>
          </a:solidFill>
        </xdr:grpSpPr>
        <xdr:sp>
          <xdr:nvSpPr>
            <xdr:cNvPr id="179" name="AutoShape 179"/>
            <xdr:cNvSpPr>
              <a:spLocks/>
            </xdr:cNvSpPr>
          </xdr:nvSpPr>
          <xdr:spPr>
            <a:xfrm>
              <a:off x="595" y="319"/>
              <a:ext cx="20" cy="17"/>
            </a:xfrm>
            <a:prstGeom prst="triangl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0" name="AutoShape 180"/>
            <xdr:cNvSpPr>
              <a:spLocks/>
            </xdr:cNvSpPr>
          </xdr:nvSpPr>
          <xdr:spPr>
            <a:xfrm rot="5400000">
              <a:off x="587" y="309"/>
              <a:ext cx="20" cy="17"/>
            </a:xfrm>
            <a:prstGeom prst="triangl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1" name="AutoShape 181"/>
            <xdr:cNvSpPr>
              <a:spLocks/>
            </xdr:cNvSpPr>
          </xdr:nvSpPr>
          <xdr:spPr>
            <a:xfrm rot="16200000">
              <a:off x="605" y="308"/>
              <a:ext cx="17" cy="20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oneCellAnchor>
  <xdr:oneCellAnchor>
    <xdr:from>
      <xdr:col>38</xdr:col>
      <xdr:colOff>85725</xdr:colOff>
      <xdr:row>20</xdr:row>
      <xdr:rowOff>0</xdr:rowOff>
    </xdr:from>
    <xdr:ext cx="400050" cy="0"/>
    <xdr:sp>
      <xdr:nvSpPr>
        <xdr:cNvPr id="182" name="Line 182"/>
        <xdr:cNvSpPr>
          <a:spLocks/>
        </xdr:cNvSpPr>
      </xdr:nvSpPr>
      <xdr:spPr>
        <a:xfrm rot="10800000" flipH="1">
          <a:off x="5153025" y="24669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38</xdr:col>
      <xdr:colOff>85725</xdr:colOff>
      <xdr:row>18</xdr:row>
      <xdr:rowOff>76200</xdr:rowOff>
    </xdr:from>
    <xdr:ext cx="400050" cy="0"/>
    <xdr:sp>
      <xdr:nvSpPr>
        <xdr:cNvPr id="183" name="Line 183"/>
        <xdr:cNvSpPr>
          <a:spLocks/>
        </xdr:cNvSpPr>
      </xdr:nvSpPr>
      <xdr:spPr>
        <a:xfrm rot="10800000" flipH="1">
          <a:off x="515302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38</xdr:col>
      <xdr:colOff>85725</xdr:colOff>
      <xdr:row>21</xdr:row>
      <xdr:rowOff>38100</xdr:rowOff>
    </xdr:from>
    <xdr:ext cx="400050" cy="0"/>
    <xdr:sp>
      <xdr:nvSpPr>
        <xdr:cNvPr id="184" name="Line 184"/>
        <xdr:cNvSpPr>
          <a:spLocks/>
        </xdr:cNvSpPr>
      </xdr:nvSpPr>
      <xdr:spPr>
        <a:xfrm rot="10800000" flipH="1">
          <a:off x="5153025" y="26098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89</xdr:col>
      <xdr:colOff>104775</xdr:colOff>
      <xdr:row>70</xdr:row>
      <xdr:rowOff>66675</xdr:rowOff>
    </xdr:from>
    <xdr:ext cx="438150" cy="762000"/>
    <xdr:grpSp>
      <xdr:nvGrpSpPr>
        <xdr:cNvPr id="185" name="Group 185"/>
        <xdr:cNvGrpSpPr>
          <a:grpSpLocks/>
        </xdr:cNvGrpSpPr>
      </xdr:nvGrpSpPr>
      <xdr:grpSpPr>
        <a:xfrm>
          <a:off x="11972925" y="7620000"/>
          <a:ext cx="438150" cy="762000"/>
          <a:chOff x="1080" y="128"/>
          <a:chExt cx="39" cy="81"/>
        </a:xfrm>
        <a:solidFill>
          <a:srgbClr val="FFFFFF"/>
        </a:solidFill>
      </xdr:grpSpPr>
      <xdr:grpSp>
        <xdr:nvGrpSpPr>
          <xdr:cNvPr id="186" name="Group 186"/>
          <xdr:cNvGrpSpPr>
            <a:grpSpLocks/>
          </xdr:cNvGrpSpPr>
        </xdr:nvGrpSpPr>
        <xdr:grpSpPr>
          <a:xfrm>
            <a:off x="1080" y="128"/>
            <a:ext cx="39" cy="63"/>
            <a:chOff x="1135" y="132"/>
            <a:chExt cx="39" cy="63"/>
          </a:xfrm>
          <a:solidFill>
            <a:srgbClr val="FFFFFF"/>
          </a:solidFill>
        </xdr:grpSpPr>
        <xdr:sp>
          <xdr:nvSpPr>
            <xdr:cNvPr id="187" name="Line 187"/>
            <xdr:cNvSpPr>
              <a:spLocks/>
            </xdr:cNvSpPr>
          </xdr:nvSpPr>
          <xdr:spPr>
            <a:xfrm rot="5400000">
              <a:off x="1142" y="181"/>
              <a:ext cx="2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8" name="Oval 188"/>
            <xdr:cNvSpPr>
              <a:spLocks/>
            </xdr:cNvSpPr>
          </xdr:nvSpPr>
          <xdr:spPr>
            <a:xfrm rot="5400000">
              <a:off x="1135" y="132"/>
              <a:ext cx="39" cy="39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0" i="0" u="none" baseline="0">
                  <a:latin typeface="Arial Cyr"/>
                  <a:ea typeface="Arial Cyr"/>
                  <a:cs typeface="Arial Cyr"/>
                </a:rPr>
                <a:t>М</a:t>
              </a:r>
            </a:p>
          </xdr:txBody>
        </xdr:sp>
      </xdr:grpSp>
      <xdr:grpSp>
        <xdr:nvGrpSpPr>
          <xdr:cNvPr id="189" name="Group 189"/>
          <xdr:cNvGrpSpPr>
            <a:grpSpLocks/>
          </xdr:cNvGrpSpPr>
        </xdr:nvGrpSpPr>
        <xdr:grpSpPr>
          <a:xfrm>
            <a:off x="1083" y="181"/>
            <a:ext cx="35" cy="28"/>
            <a:chOff x="1083" y="181"/>
            <a:chExt cx="35" cy="28"/>
          </a:xfrm>
          <a:solidFill>
            <a:srgbClr val="FFFFFF"/>
          </a:solidFill>
        </xdr:grpSpPr>
        <xdr:sp>
          <xdr:nvSpPr>
            <xdr:cNvPr id="190" name="AutoShape 190"/>
            <xdr:cNvSpPr>
              <a:spLocks/>
            </xdr:cNvSpPr>
          </xdr:nvSpPr>
          <xdr:spPr>
            <a:xfrm>
              <a:off x="1091" y="192"/>
              <a:ext cx="20" cy="17"/>
            </a:xfrm>
            <a:prstGeom prst="triangl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91" name="AutoShape 191"/>
            <xdr:cNvSpPr>
              <a:spLocks/>
            </xdr:cNvSpPr>
          </xdr:nvSpPr>
          <xdr:spPr>
            <a:xfrm rot="16200000">
              <a:off x="1101" y="181"/>
              <a:ext cx="17" cy="20"/>
            </a:xfrm>
            <a:prstGeom prst="triangl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92" name="AutoShape 192"/>
            <xdr:cNvSpPr>
              <a:spLocks/>
            </xdr:cNvSpPr>
          </xdr:nvSpPr>
          <xdr:spPr>
            <a:xfrm rot="5400000">
              <a:off x="1083" y="182"/>
              <a:ext cx="20" cy="17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oneCellAnchor>
  <xdr:oneCellAnchor>
    <xdr:from>
      <xdr:col>94</xdr:col>
      <xdr:colOff>38100</xdr:colOff>
      <xdr:row>64</xdr:row>
      <xdr:rowOff>38100</xdr:rowOff>
    </xdr:from>
    <xdr:ext cx="438150" cy="666750"/>
    <xdr:grpSp>
      <xdr:nvGrpSpPr>
        <xdr:cNvPr id="193" name="Group 193"/>
        <xdr:cNvGrpSpPr>
          <a:grpSpLocks/>
        </xdr:cNvGrpSpPr>
      </xdr:nvGrpSpPr>
      <xdr:grpSpPr>
        <a:xfrm>
          <a:off x="12573000" y="7019925"/>
          <a:ext cx="438150" cy="666750"/>
          <a:chOff x="600" y="834"/>
          <a:chExt cx="39" cy="70"/>
        </a:xfrm>
        <a:solidFill>
          <a:srgbClr val="FFFFFF"/>
        </a:solidFill>
      </xdr:grpSpPr>
      <xdr:grpSp>
        <xdr:nvGrpSpPr>
          <xdr:cNvPr id="194" name="Group 194"/>
          <xdr:cNvGrpSpPr>
            <a:grpSpLocks/>
          </xdr:cNvGrpSpPr>
        </xdr:nvGrpSpPr>
        <xdr:grpSpPr>
          <a:xfrm rot="5400000">
            <a:off x="600" y="866"/>
            <a:ext cx="39" cy="37"/>
            <a:chOff x="243" y="282"/>
            <a:chExt cx="35" cy="38"/>
          </a:xfrm>
          <a:solidFill>
            <a:srgbClr val="FFFFFF"/>
          </a:solidFill>
        </xdr:grpSpPr>
        <xdr:grpSp>
          <xdr:nvGrpSpPr>
            <xdr:cNvPr id="195" name="Group 195"/>
            <xdr:cNvGrpSpPr>
              <a:grpSpLocks/>
            </xdr:cNvGrpSpPr>
          </xdr:nvGrpSpPr>
          <xdr:grpSpPr>
            <a:xfrm>
              <a:off x="259" y="282"/>
              <a:ext cx="19" cy="38"/>
              <a:chOff x="267" y="282"/>
              <a:chExt cx="19" cy="38"/>
            </a:xfrm>
            <a:solidFill>
              <a:srgbClr val="FFFFFF"/>
            </a:solidFill>
          </xdr:grpSpPr>
          <xdr:sp>
            <xdr:nvSpPr>
              <xdr:cNvPr id="196" name="AutoShape 196"/>
              <xdr:cNvSpPr>
                <a:spLocks/>
              </xdr:cNvSpPr>
            </xdr:nvSpPr>
            <xdr:spPr>
              <a:xfrm>
                <a:off x="267" y="282"/>
                <a:ext cx="19" cy="19"/>
              </a:xfrm>
              <a:prstGeom prst="flowChartMerg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97" name="AutoShape 197"/>
              <xdr:cNvSpPr>
                <a:spLocks/>
              </xdr:cNvSpPr>
            </xdr:nvSpPr>
            <xdr:spPr>
              <a:xfrm rot="10800000">
                <a:off x="267" y="301"/>
                <a:ext cx="19" cy="19"/>
              </a:xfrm>
              <a:prstGeom prst="flowChartMerg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198" name="Line 198"/>
            <xdr:cNvSpPr>
              <a:spLocks/>
            </xdr:cNvSpPr>
          </xdr:nvSpPr>
          <xdr:spPr>
            <a:xfrm>
              <a:off x="243" y="301"/>
              <a:ext cx="2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199" name="Oval 199"/>
          <xdr:cNvSpPr>
            <a:spLocks/>
          </xdr:cNvSpPr>
        </xdr:nvSpPr>
        <xdr:spPr>
          <a:xfrm rot="5400000">
            <a:off x="600" y="834"/>
            <a:ext cx="39" cy="3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latin typeface="Arial Cyr"/>
                <a:ea typeface="Arial Cyr"/>
                <a:cs typeface="Arial Cyr"/>
              </a:rPr>
              <a:t>М</a:t>
            </a:r>
          </a:p>
        </xdr:txBody>
      </xdr:sp>
    </xdr:grpSp>
    <xdr:clientData/>
  </xdr:oneCellAnchor>
  <xdr:oneCellAnchor>
    <xdr:from>
      <xdr:col>39</xdr:col>
      <xdr:colOff>104775</xdr:colOff>
      <xdr:row>62</xdr:row>
      <xdr:rowOff>38100</xdr:rowOff>
    </xdr:from>
    <xdr:ext cx="666750" cy="390525"/>
    <xdr:grpSp>
      <xdr:nvGrpSpPr>
        <xdr:cNvPr id="200" name="Group 200"/>
        <xdr:cNvGrpSpPr>
          <a:grpSpLocks/>
        </xdr:cNvGrpSpPr>
      </xdr:nvGrpSpPr>
      <xdr:grpSpPr>
        <a:xfrm rot="16200000">
          <a:off x="5305425" y="6829425"/>
          <a:ext cx="666750" cy="390525"/>
          <a:chOff x="415" y="222"/>
          <a:chExt cx="41" cy="59"/>
        </a:xfrm>
        <a:solidFill>
          <a:srgbClr val="FFFFFF"/>
        </a:solidFill>
      </xdr:grpSpPr>
      <xdr:grpSp>
        <xdr:nvGrpSpPr>
          <xdr:cNvPr id="201" name="Group 201"/>
          <xdr:cNvGrpSpPr>
            <a:grpSpLocks/>
          </xdr:cNvGrpSpPr>
        </xdr:nvGrpSpPr>
        <xdr:grpSpPr>
          <a:xfrm rot="5400000">
            <a:off x="418" y="243"/>
            <a:ext cx="38" cy="37"/>
            <a:chOff x="243" y="282"/>
            <a:chExt cx="35" cy="38"/>
          </a:xfrm>
          <a:solidFill>
            <a:srgbClr val="FFFFFF"/>
          </a:solidFill>
        </xdr:grpSpPr>
        <xdr:grpSp>
          <xdr:nvGrpSpPr>
            <xdr:cNvPr id="202" name="Group 202"/>
            <xdr:cNvGrpSpPr>
              <a:grpSpLocks/>
            </xdr:cNvGrpSpPr>
          </xdr:nvGrpSpPr>
          <xdr:grpSpPr>
            <a:xfrm>
              <a:off x="259" y="282"/>
              <a:ext cx="19" cy="38"/>
              <a:chOff x="267" y="282"/>
              <a:chExt cx="19" cy="38"/>
            </a:xfrm>
            <a:solidFill>
              <a:srgbClr val="FFFFFF"/>
            </a:solidFill>
          </xdr:grpSpPr>
          <xdr:sp>
            <xdr:nvSpPr>
              <xdr:cNvPr id="203" name="AutoShape 203"/>
              <xdr:cNvSpPr>
                <a:spLocks/>
              </xdr:cNvSpPr>
            </xdr:nvSpPr>
            <xdr:spPr>
              <a:xfrm>
                <a:off x="267" y="282"/>
                <a:ext cx="19" cy="19"/>
              </a:xfrm>
              <a:prstGeom prst="flowChartMerg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04" name="AutoShape 204"/>
              <xdr:cNvSpPr>
                <a:spLocks/>
              </xdr:cNvSpPr>
            </xdr:nvSpPr>
            <xdr:spPr>
              <a:xfrm rot="10800000">
                <a:off x="267" y="301"/>
                <a:ext cx="19" cy="19"/>
              </a:xfrm>
              <a:prstGeom prst="flowChartMerg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205" name="Line 205"/>
            <xdr:cNvSpPr>
              <a:spLocks/>
            </xdr:cNvSpPr>
          </xdr:nvSpPr>
          <xdr:spPr>
            <a:xfrm>
              <a:off x="243" y="301"/>
              <a:ext cx="2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206" name="Rectangle 206"/>
          <xdr:cNvSpPr>
            <a:spLocks/>
          </xdr:cNvSpPr>
        </xdr:nvSpPr>
        <xdr:spPr>
          <a:xfrm>
            <a:off x="415" y="222"/>
            <a:ext cx="4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99</xdr:col>
      <xdr:colOff>47625</xdr:colOff>
      <xdr:row>68</xdr:row>
      <xdr:rowOff>9525</xdr:rowOff>
    </xdr:from>
    <xdr:ext cx="609600" cy="381000"/>
    <xdr:grpSp>
      <xdr:nvGrpSpPr>
        <xdr:cNvPr id="207" name="Group 207"/>
        <xdr:cNvGrpSpPr>
          <a:grpSpLocks/>
        </xdr:cNvGrpSpPr>
      </xdr:nvGrpSpPr>
      <xdr:grpSpPr>
        <a:xfrm>
          <a:off x="13249275" y="7372350"/>
          <a:ext cx="609600" cy="381000"/>
          <a:chOff x="729" y="661"/>
          <a:chExt cx="53" cy="39"/>
        </a:xfrm>
        <a:solidFill>
          <a:srgbClr val="FFFFFF"/>
        </a:solidFill>
      </xdr:grpSpPr>
      <xdr:grpSp>
        <xdr:nvGrpSpPr>
          <xdr:cNvPr id="208" name="Group 208"/>
          <xdr:cNvGrpSpPr>
            <a:grpSpLocks/>
          </xdr:cNvGrpSpPr>
        </xdr:nvGrpSpPr>
        <xdr:grpSpPr>
          <a:xfrm rot="5400000">
            <a:off x="729" y="661"/>
            <a:ext cx="39" cy="38"/>
            <a:chOff x="243" y="282"/>
            <a:chExt cx="35" cy="38"/>
          </a:xfrm>
          <a:solidFill>
            <a:srgbClr val="FFFFFF"/>
          </a:solidFill>
        </xdr:grpSpPr>
        <xdr:grpSp>
          <xdr:nvGrpSpPr>
            <xdr:cNvPr id="209" name="Group 209"/>
            <xdr:cNvGrpSpPr>
              <a:grpSpLocks/>
            </xdr:cNvGrpSpPr>
          </xdr:nvGrpSpPr>
          <xdr:grpSpPr>
            <a:xfrm>
              <a:off x="259" y="282"/>
              <a:ext cx="19" cy="38"/>
              <a:chOff x="267" y="282"/>
              <a:chExt cx="19" cy="38"/>
            </a:xfrm>
            <a:solidFill>
              <a:srgbClr val="FFFFFF"/>
            </a:solidFill>
          </xdr:grpSpPr>
          <xdr:sp>
            <xdr:nvSpPr>
              <xdr:cNvPr id="210" name="AutoShape 210"/>
              <xdr:cNvSpPr>
                <a:spLocks/>
              </xdr:cNvSpPr>
            </xdr:nvSpPr>
            <xdr:spPr>
              <a:xfrm>
                <a:off x="267" y="282"/>
                <a:ext cx="19" cy="19"/>
              </a:xfrm>
              <a:prstGeom prst="flowChartMerg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11" name="AutoShape 211"/>
              <xdr:cNvSpPr>
                <a:spLocks/>
              </xdr:cNvSpPr>
            </xdr:nvSpPr>
            <xdr:spPr>
              <a:xfrm rot="10800000">
                <a:off x="267" y="301"/>
                <a:ext cx="19" cy="19"/>
              </a:xfrm>
              <a:prstGeom prst="flowChartMerg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212" name="Line 212"/>
            <xdr:cNvSpPr>
              <a:spLocks/>
            </xdr:cNvSpPr>
          </xdr:nvSpPr>
          <xdr:spPr>
            <a:xfrm>
              <a:off x="243" y="301"/>
              <a:ext cx="2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213" name="Line 213"/>
          <xdr:cNvSpPr>
            <a:spLocks/>
          </xdr:cNvSpPr>
        </xdr:nvSpPr>
        <xdr:spPr>
          <a:xfrm>
            <a:off x="748" y="661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4" name="Line 214"/>
          <xdr:cNvSpPr>
            <a:spLocks/>
          </xdr:cNvSpPr>
        </xdr:nvSpPr>
        <xdr:spPr>
          <a:xfrm>
            <a:off x="767" y="689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5" name="Line 215"/>
          <xdr:cNvSpPr>
            <a:spLocks/>
          </xdr:cNvSpPr>
        </xdr:nvSpPr>
        <xdr:spPr>
          <a:xfrm>
            <a:off x="782" y="661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87</xdr:col>
      <xdr:colOff>47625</xdr:colOff>
      <xdr:row>43</xdr:row>
      <xdr:rowOff>9525</xdr:rowOff>
    </xdr:from>
    <xdr:ext cx="219075" cy="200025"/>
    <xdr:sp>
      <xdr:nvSpPr>
        <xdr:cNvPr id="216" name="AutoShape 216"/>
        <xdr:cNvSpPr>
          <a:spLocks/>
        </xdr:cNvSpPr>
      </xdr:nvSpPr>
      <xdr:spPr>
        <a:xfrm rot="5400000">
          <a:off x="11649075" y="4848225"/>
          <a:ext cx="219075" cy="2000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87</xdr:col>
      <xdr:colOff>57150</xdr:colOff>
      <xdr:row>49</xdr:row>
      <xdr:rowOff>85725</xdr:rowOff>
    </xdr:from>
    <xdr:ext cx="219075" cy="238125"/>
    <xdr:sp>
      <xdr:nvSpPr>
        <xdr:cNvPr id="217" name="AutoShape 217"/>
        <xdr:cNvSpPr>
          <a:spLocks/>
        </xdr:cNvSpPr>
      </xdr:nvSpPr>
      <xdr:spPr>
        <a:xfrm rot="16200000">
          <a:off x="11658600" y="5553075"/>
          <a:ext cx="219075" cy="2381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91</xdr:col>
      <xdr:colOff>123825</xdr:colOff>
      <xdr:row>34</xdr:row>
      <xdr:rowOff>47625</xdr:rowOff>
    </xdr:from>
    <xdr:ext cx="57150" cy="57150"/>
    <xdr:sp>
      <xdr:nvSpPr>
        <xdr:cNvPr id="218" name="AutoShape 218"/>
        <xdr:cNvSpPr>
          <a:spLocks/>
        </xdr:cNvSpPr>
      </xdr:nvSpPr>
      <xdr:spPr>
        <a:xfrm>
          <a:off x="12258675" y="3943350"/>
          <a:ext cx="5715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91</xdr:col>
      <xdr:colOff>104775</xdr:colOff>
      <xdr:row>37</xdr:row>
      <xdr:rowOff>47625</xdr:rowOff>
    </xdr:from>
    <xdr:ext cx="66675" cy="57150"/>
    <xdr:sp>
      <xdr:nvSpPr>
        <xdr:cNvPr id="219" name="AutoShape 219"/>
        <xdr:cNvSpPr>
          <a:spLocks/>
        </xdr:cNvSpPr>
      </xdr:nvSpPr>
      <xdr:spPr>
        <a:xfrm>
          <a:off x="12239625" y="4257675"/>
          <a:ext cx="666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81</xdr:col>
      <xdr:colOff>76200</xdr:colOff>
      <xdr:row>96</xdr:row>
      <xdr:rowOff>76200</xdr:rowOff>
    </xdr:from>
    <xdr:ext cx="628650" cy="495300"/>
    <xdr:grpSp>
      <xdr:nvGrpSpPr>
        <xdr:cNvPr id="220" name="Group 220"/>
        <xdr:cNvGrpSpPr>
          <a:grpSpLocks/>
        </xdr:cNvGrpSpPr>
      </xdr:nvGrpSpPr>
      <xdr:grpSpPr>
        <a:xfrm rot="10800000">
          <a:off x="10877550" y="10106025"/>
          <a:ext cx="628650" cy="495300"/>
          <a:chOff x="537" y="194"/>
          <a:chExt cx="51" cy="53"/>
        </a:xfrm>
        <a:solidFill>
          <a:srgbClr val="FFFFFF"/>
        </a:solidFill>
      </xdr:grpSpPr>
      <xdr:sp>
        <xdr:nvSpPr>
          <xdr:cNvPr id="221" name="Oval 221"/>
          <xdr:cNvSpPr>
            <a:spLocks/>
          </xdr:cNvSpPr>
        </xdr:nvSpPr>
        <xdr:spPr>
          <a:xfrm rot="21600000">
            <a:off x="537" y="194"/>
            <a:ext cx="51" cy="5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2" name="AutoShape 222"/>
          <xdr:cNvSpPr>
            <a:spLocks/>
          </xdr:cNvSpPr>
        </xdr:nvSpPr>
        <xdr:spPr>
          <a:xfrm rot="27000000">
            <a:off x="566" y="210"/>
            <a:ext cx="20" cy="19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18</xdr:col>
      <xdr:colOff>123825</xdr:colOff>
      <xdr:row>72</xdr:row>
      <xdr:rowOff>47625</xdr:rowOff>
    </xdr:from>
    <xdr:ext cx="619125" cy="495300"/>
    <xdr:grpSp>
      <xdr:nvGrpSpPr>
        <xdr:cNvPr id="223" name="Group 223"/>
        <xdr:cNvGrpSpPr>
          <a:grpSpLocks/>
        </xdr:cNvGrpSpPr>
      </xdr:nvGrpSpPr>
      <xdr:grpSpPr>
        <a:xfrm>
          <a:off x="2524125" y="7791450"/>
          <a:ext cx="619125" cy="495300"/>
          <a:chOff x="537" y="194"/>
          <a:chExt cx="51" cy="53"/>
        </a:xfrm>
        <a:solidFill>
          <a:srgbClr val="FFFFFF"/>
        </a:solidFill>
      </xdr:grpSpPr>
      <xdr:sp>
        <xdr:nvSpPr>
          <xdr:cNvPr id="224" name="Oval 224"/>
          <xdr:cNvSpPr>
            <a:spLocks/>
          </xdr:cNvSpPr>
        </xdr:nvSpPr>
        <xdr:spPr>
          <a:xfrm rot="21600000">
            <a:off x="537" y="194"/>
            <a:ext cx="51" cy="5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5" name="AutoShape 225"/>
          <xdr:cNvSpPr>
            <a:spLocks/>
          </xdr:cNvSpPr>
        </xdr:nvSpPr>
        <xdr:spPr>
          <a:xfrm rot="27000000">
            <a:off x="566" y="210"/>
            <a:ext cx="20" cy="19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93</xdr:col>
      <xdr:colOff>38100</xdr:colOff>
      <xdr:row>80</xdr:row>
      <xdr:rowOff>66675</xdr:rowOff>
    </xdr:from>
    <xdr:ext cx="409575" cy="200025"/>
    <xdr:grpSp>
      <xdr:nvGrpSpPr>
        <xdr:cNvPr id="226" name="Group 226"/>
        <xdr:cNvGrpSpPr>
          <a:grpSpLocks/>
        </xdr:cNvGrpSpPr>
      </xdr:nvGrpSpPr>
      <xdr:grpSpPr>
        <a:xfrm rot="5400000">
          <a:off x="12439650" y="8572500"/>
          <a:ext cx="409575" cy="200025"/>
          <a:chOff x="1013" y="569"/>
          <a:chExt cx="22" cy="36"/>
        </a:xfrm>
        <a:solidFill>
          <a:srgbClr val="FFFFFF"/>
        </a:solidFill>
      </xdr:grpSpPr>
      <xdr:sp>
        <xdr:nvSpPr>
          <xdr:cNvPr id="227" name="AutoShape 227"/>
          <xdr:cNvSpPr>
            <a:spLocks/>
          </xdr:cNvSpPr>
        </xdr:nvSpPr>
        <xdr:spPr>
          <a:xfrm rot="21600000">
            <a:off x="1013" y="569"/>
            <a:ext cx="22" cy="18"/>
          </a:xfrm>
          <a:prstGeom prst="flowChartMerg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8" name="AutoShape 228"/>
          <xdr:cNvSpPr>
            <a:spLocks/>
          </xdr:cNvSpPr>
        </xdr:nvSpPr>
        <xdr:spPr>
          <a:xfrm rot="32400000">
            <a:off x="1013" y="587"/>
            <a:ext cx="22" cy="18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84</xdr:col>
      <xdr:colOff>0</xdr:colOff>
      <xdr:row>32</xdr:row>
      <xdr:rowOff>47625</xdr:rowOff>
    </xdr:from>
    <xdr:ext cx="123825" cy="209550"/>
    <xdr:grpSp>
      <xdr:nvGrpSpPr>
        <xdr:cNvPr id="229" name="Group 229"/>
        <xdr:cNvGrpSpPr>
          <a:grpSpLocks/>
        </xdr:cNvGrpSpPr>
      </xdr:nvGrpSpPr>
      <xdr:grpSpPr>
        <a:xfrm rot="5400000">
          <a:off x="11201400" y="3733800"/>
          <a:ext cx="123825" cy="209550"/>
          <a:chOff x="1025" y="215"/>
          <a:chExt cx="22" cy="10"/>
        </a:xfrm>
        <a:solidFill>
          <a:srgbClr val="FFFFFF"/>
        </a:solidFill>
      </xdr:grpSpPr>
      <xdr:sp>
        <xdr:nvSpPr>
          <xdr:cNvPr id="230" name="AutoShape 230"/>
          <xdr:cNvSpPr>
            <a:spLocks/>
          </xdr:cNvSpPr>
        </xdr:nvSpPr>
        <xdr:spPr>
          <a:xfrm flipV="1">
            <a:off x="1025" y="215"/>
            <a:ext cx="22" cy="1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1" name="Oval 231"/>
          <xdr:cNvSpPr>
            <a:spLocks/>
          </xdr:cNvSpPr>
        </xdr:nvSpPr>
        <xdr:spPr>
          <a:xfrm rot="16200000">
            <a:off x="1032" y="216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27</xdr:col>
      <xdr:colOff>47625</xdr:colOff>
      <xdr:row>4</xdr:row>
      <xdr:rowOff>28575</xdr:rowOff>
    </xdr:from>
    <xdr:ext cx="438150" cy="771525"/>
    <xdr:grpSp>
      <xdr:nvGrpSpPr>
        <xdr:cNvPr id="232" name="Group 232"/>
        <xdr:cNvGrpSpPr>
          <a:grpSpLocks/>
        </xdr:cNvGrpSpPr>
      </xdr:nvGrpSpPr>
      <xdr:grpSpPr>
        <a:xfrm>
          <a:off x="3648075" y="819150"/>
          <a:ext cx="438150" cy="771525"/>
          <a:chOff x="593" y="256"/>
          <a:chExt cx="39" cy="80"/>
        </a:xfrm>
        <a:solidFill>
          <a:srgbClr val="FFFFFF"/>
        </a:solidFill>
      </xdr:grpSpPr>
      <xdr:sp>
        <xdr:nvSpPr>
          <xdr:cNvPr id="233" name="Line 233"/>
          <xdr:cNvSpPr>
            <a:spLocks/>
          </xdr:cNvSpPr>
        </xdr:nvSpPr>
        <xdr:spPr>
          <a:xfrm rot="5400000">
            <a:off x="600" y="305"/>
            <a:ext cx="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4" name="Oval 234"/>
          <xdr:cNvSpPr>
            <a:spLocks/>
          </xdr:cNvSpPr>
        </xdr:nvSpPr>
        <xdr:spPr>
          <a:xfrm rot="5400000">
            <a:off x="593" y="256"/>
            <a:ext cx="39" cy="3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latin typeface="Arial Cyr"/>
                <a:ea typeface="Arial Cyr"/>
                <a:cs typeface="Arial Cyr"/>
              </a:rPr>
              <a:t>М</a:t>
            </a:r>
          </a:p>
        </xdr:txBody>
      </xdr:sp>
      <xdr:grpSp>
        <xdr:nvGrpSpPr>
          <xdr:cNvPr id="235" name="Group 235"/>
          <xdr:cNvGrpSpPr>
            <a:grpSpLocks/>
          </xdr:cNvGrpSpPr>
        </xdr:nvGrpSpPr>
        <xdr:grpSpPr>
          <a:xfrm>
            <a:off x="595" y="308"/>
            <a:ext cx="35" cy="28"/>
            <a:chOff x="587" y="308"/>
            <a:chExt cx="35" cy="28"/>
          </a:xfrm>
          <a:solidFill>
            <a:srgbClr val="FFFFFF"/>
          </a:solidFill>
        </xdr:grpSpPr>
        <xdr:sp>
          <xdr:nvSpPr>
            <xdr:cNvPr id="236" name="AutoShape 236"/>
            <xdr:cNvSpPr>
              <a:spLocks/>
            </xdr:cNvSpPr>
          </xdr:nvSpPr>
          <xdr:spPr>
            <a:xfrm>
              <a:off x="595" y="319"/>
              <a:ext cx="20" cy="17"/>
            </a:xfrm>
            <a:prstGeom prst="triangl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37" name="AutoShape 237"/>
            <xdr:cNvSpPr>
              <a:spLocks/>
            </xdr:cNvSpPr>
          </xdr:nvSpPr>
          <xdr:spPr>
            <a:xfrm rot="5400000">
              <a:off x="587" y="309"/>
              <a:ext cx="20" cy="17"/>
            </a:xfrm>
            <a:prstGeom prst="triangl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38" name="AutoShape 238"/>
            <xdr:cNvSpPr>
              <a:spLocks/>
            </xdr:cNvSpPr>
          </xdr:nvSpPr>
          <xdr:spPr>
            <a:xfrm rot="16200000">
              <a:off x="605" y="308"/>
              <a:ext cx="17" cy="20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oneCellAnchor>
  <xdr:oneCellAnchor>
    <xdr:from>
      <xdr:col>89</xdr:col>
      <xdr:colOff>0</xdr:colOff>
      <xdr:row>60</xdr:row>
      <xdr:rowOff>66675</xdr:rowOff>
    </xdr:from>
    <xdr:ext cx="447675" cy="762000"/>
    <xdr:grpSp>
      <xdr:nvGrpSpPr>
        <xdr:cNvPr id="239" name="Group 239"/>
        <xdr:cNvGrpSpPr>
          <a:grpSpLocks/>
        </xdr:cNvGrpSpPr>
      </xdr:nvGrpSpPr>
      <xdr:grpSpPr>
        <a:xfrm rot="10800000">
          <a:off x="11868150" y="6667500"/>
          <a:ext cx="447675" cy="762000"/>
          <a:chOff x="593" y="256"/>
          <a:chExt cx="39" cy="80"/>
        </a:xfrm>
        <a:solidFill>
          <a:srgbClr val="FFFFFF"/>
        </a:solidFill>
      </xdr:grpSpPr>
      <xdr:sp>
        <xdr:nvSpPr>
          <xdr:cNvPr id="240" name="Line 240"/>
          <xdr:cNvSpPr>
            <a:spLocks/>
          </xdr:cNvSpPr>
        </xdr:nvSpPr>
        <xdr:spPr>
          <a:xfrm rot="5400000">
            <a:off x="600" y="305"/>
            <a:ext cx="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1" name="Oval 241"/>
          <xdr:cNvSpPr>
            <a:spLocks/>
          </xdr:cNvSpPr>
        </xdr:nvSpPr>
        <xdr:spPr>
          <a:xfrm rot="5400000">
            <a:off x="593" y="256"/>
            <a:ext cx="39" cy="3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latin typeface="Arial Cyr"/>
                <a:ea typeface="Arial Cyr"/>
                <a:cs typeface="Arial Cyr"/>
              </a:rPr>
              <a:t>М</a:t>
            </a:r>
          </a:p>
        </xdr:txBody>
      </xdr:sp>
      <xdr:grpSp>
        <xdr:nvGrpSpPr>
          <xdr:cNvPr id="242" name="Group 242"/>
          <xdr:cNvGrpSpPr>
            <a:grpSpLocks/>
          </xdr:cNvGrpSpPr>
        </xdr:nvGrpSpPr>
        <xdr:grpSpPr>
          <a:xfrm>
            <a:off x="595" y="308"/>
            <a:ext cx="35" cy="28"/>
            <a:chOff x="587" y="308"/>
            <a:chExt cx="35" cy="28"/>
          </a:xfrm>
          <a:solidFill>
            <a:srgbClr val="FFFFFF"/>
          </a:solidFill>
        </xdr:grpSpPr>
        <xdr:sp>
          <xdr:nvSpPr>
            <xdr:cNvPr id="243" name="AutoShape 243"/>
            <xdr:cNvSpPr>
              <a:spLocks/>
            </xdr:cNvSpPr>
          </xdr:nvSpPr>
          <xdr:spPr>
            <a:xfrm>
              <a:off x="595" y="319"/>
              <a:ext cx="20" cy="17"/>
            </a:xfrm>
            <a:prstGeom prst="triangl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44" name="AutoShape 244"/>
            <xdr:cNvSpPr>
              <a:spLocks/>
            </xdr:cNvSpPr>
          </xdr:nvSpPr>
          <xdr:spPr>
            <a:xfrm rot="5400000">
              <a:off x="587" y="309"/>
              <a:ext cx="20" cy="17"/>
            </a:xfrm>
            <a:prstGeom prst="triangl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45" name="AutoShape 245"/>
            <xdr:cNvSpPr>
              <a:spLocks/>
            </xdr:cNvSpPr>
          </xdr:nvSpPr>
          <xdr:spPr>
            <a:xfrm rot="16200000">
              <a:off x="605" y="308"/>
              <a:ext cx="17" cy="20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oneCellAnchor>
  <xdr:oneCellAnchor>
    <xdr:from>
      <xdr:col>11</xdr:col>
      <xdr:colOff>0</xdr:colOff>
      <xdr:row>28</xdr:row>
      <xdr:rowOff>85725</xdr:rowOff>
    </xdr:from>
    <xdr:ext cx="581025" cy="523875"/>
    <xdr:grpSp>
      <xdr:nvGrpSpPr>
        <xdr:cNvPr id="246" name="Group 246"/>
        <xdr:cNvGrpSpPr>
          <a:grpSpLocks/>
        </xdr:cNvGrpSpPr>
      </xdr:nvGrpSpPr>
      <xdr:grpSpPr>
        <a:xfrm rot="16200000">
          <a:off x="1466850" y="3352800"/>
          <a:ext cx="581025" cy="523875"/>
          <a:chOff x="537" y="194"/>
          <a:chExt cx="51" cy="53"/>
        </a:xfrm>
        <a:solidFill>
          <a:srgbClr val="FFFFFF"/>
        </a:solidFill>
      </xdr:grpSpPr>
      <xdr:sp>
        <xdr:nvSpPr>
          <xdr:cNvPr id="247" name="Oval 247"/>
          <xdr:cNvSpPr>
            <a:spLocks/>
          </xdr:cNvSpPr>
        </xdr:nvSpPr>
        <xdr:spPr>
          <a:xfrm rot="21600000">
            <a:off x="537" y="194"/>
            <a:ext cx="51" cy="5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8" name="AutoShape 248"/>
          <xdr:cNvSpPr>
            <a:spLocks/>
          </xdr:cNvSpPr>
        </xdr:nvSpPr>
        <xdr:spPr>
          <a:xfrm rot="27000000">
            <a:off x="566" y="210"/>
            <a:ext cx="20" cy="19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22</xdr:col>
      <xdr:colOff>57150</xdr:colOff>
      <xdr:row>29</xdr:row>
      <xdr:rowOff>85725</xdr:rowOff>
    </xdr:from>
    <xdr:ext cx="400050" cy="600075"/>
    <xdr:grpSp>
      <xdr:nvGrpSpPr>
        <xdr:cNvPr id="249" name="Group 249"/>
        <xdr:cNvGrpSpPr>
          <a:grpSpLocks/>
        </xdr:cNvGrpSpPr>
      </xdr:nvGrpSpPr>
      <xdr:grpSpPr>
        <a:xfrm>
          <a:off x="2990850" y="3457575"/>
          <a:ext cx="400050" cy="600075"/>
          <a:chOff x="437" y="381"/>
          <a:chExt cx="35" cy="58"/>
        </a:xfrm>
        <a:solidFill>
          <a:srgbClr val="FFFFFF"/>
        </a:solidFill>
      </xdr:grpSpPr>
      <xdr:grpSp>
        <xdr:nvGrpSpPr>
          <xdr:cNvPr id="250" name="Group 250"/>
          <xdr:cNvGrpSpPr>
            <a:grpSpLocks/>
          </xdr:cNvGrpSpPr>
        </xdr:nvGrpSpPr>
        <xdr:grpSpPr>
          <a:xfrm>
            <a:off x="437" y="381"/>
            <a:ext cx="35" cy="58"/>
            <a:chOff x="437" y="381"/>
            <a:chExt cx="35" cy="58"/>
          </a:xfrm>
          <a:solidFill>
            <a:srgbClr val="FFFFFF"/>
          </a:solidFill>
        </xdr:grpSpPr>
        <xdr:sp>
          <xdr:nvSpPr>
            <xdr:cNvPr id="251" name="Line 251"/>
            <xdr:cNvSpPr>
              <a:spLocks/>
            </xdr:cNvSpPr>
          </xdr:nvSpPr>
          <xdr:spPr>
            <a:xfrm>
              <a:off x="463" y="381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52" name="Rectangle 252"/>
            <xdr:cNvSpPr>
              <a:spLocks/>
            </xdr:cNvSpPr>
          </xdr:nvSpPr>
          <xdr:spPr>
            <a:xfrm>
              <a:off x="437" y="385"/>
              <a:ext cx="35" cy="54"/>
            </a:xfrm>
            <a:prstGeom prst="round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253" name="AutoShape 253"/>
          <xdr:cNvSpPr>
            <a:spLocks noChangeAspect="1"/>
          </xdr:cNvSpPr>
        </xdr:nvSpPr>
        <xdr:spPr>
          <a:xfrm rot="10800000">
            <a:off x="437" y="409"/>
            <a:ext cx="35" cy="5"/>
          </a:xfrm>
          <a:custGeom>
            <a:pathLst>
              <a:path h="13" w="84">
                <a:moveTo>
                  <a:pt x="0" y="11"/>
                </a:moveTo>
                <a:cubicBezTo>
                  <a:pt x="4" y="5"/>
                  <a:pt x="8" y="0"/>
                  <a:pt x="12" y="0"/>
                </a:cubicBezTo>
                <a:cubicBezTo>
                  <a:pt x="16" y="0"/>
                  <a:pt x="16" y="9"/>
                  <a:pt x="24" y="11"/>
                </a:cubicBezTo>
                <a:cubicBezTo>
                  <a:pt x="32" y="13"/>
                  <a:pt x="52" y="13"/>
                  <a:pt x="60" y="11"/>
                </a:cubicBezTo>
                <a:cubicBezTo>
                  <a:pt x="68" y="9"/>
                  <a:pt x="68" y="0"/>
                  <a:pt x="72" y="0"/>
                </a:cubicBezTo>
                <a:cubicBezTo>
                  <a:pt x="76" y="0"/>
                  <a:pt x="80" y="5"/>
                  <a:pt x="84" y="11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92</xdr:col>
      <xdr:colOff>104775</xdr:colOff>
      <xdr:row>49</xdr:row>
      <xdr:rowOff>66675</xdr:rowOff>
    </xdr:from>
    <xdr:ext cx="0" cy="342900"/>
    <xdr:sp>
      <xdr:nvSpPr>
        <xdr:cNvPr id="254" name="Line 254"/>
        <xdr:cNvSpPr>
          <a:spLocks/>
        </xdr:cNvSpPr>
      </xdr:nvSpPr>
      <xdr:spPr>
        <a:xfrm rot="5400000" flipH="1">
          <a:off x="12372975" y="55340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9525</xdr:colOff>
      <xdr:row>65</xdr:row>
      <xdr:rowOff>47625</xdr:rowOff>
    </xdr:from>
    <xdr:ext cx="247650" cy="333375"/>
    <xdr:grpSp>
      <xdr:nvGrpSpPr>
        <xdr:cNvPr id="255" name="Group 255"/>
        <xdr:cNvGrpSpPr>
          <a:grpSpLocks/>
        </xdr:cNvGrpSpPr>
      </xdr:nvGrpSpPr>
      <xdr:grpSpPr>
        <a:xfrm>
          <a:off x="2009775" y="7124700"/>
          <a:ext cx="247650" cy="333375"/>
          <a:chOff x="1013" y="569"/>
          <a:chExt cx="22" cy="36"/>
        </a:xfrm>
        <a:solidFill>
          <a:srgbClr val="FFFFFF"/>
        </a:solidFill>
      </xdr:grpSpPr>
      <xdr:sp>
        <xdr:nvSpPr>
          <xdr:cNvPr id="256" name="AutoShape 256"/>
          <xdr:cNvSpPr>
            <a:spLocks/>
          </xdr:cNvSpPr>
        </xdr:nvSpPr>
        <xdr:spPr>
          <a:xfrm rot="21600000">
            <a:off x="1013" y="569"/>
            <a:ext cx="22" cy="18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7" name="AutoShape 257"/>
          <xdr:cNvSpPr>
            <a:spLocks/>
          </xdr:cNvSpPr>
        </xdr:nvSpPr>
        <xdr:spPr>
          <a:xfrm rot="32400000">
            <a:off x="1013" y="587"/>
            <a:ext cx="22" cy="18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8" name="Oval 258"/>
          <xdr:cNvSpPr>
            <a:spLocks/>
          </xdr:cNvSpPr>
        </xdr:nvSpPr>
        <xdr:spPr>
          <a:xfrm>
            <a:off x="1020" y="583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7</xdr:col>
      <xdr:colOff>104775</xdr:colOff>
      <xdr:row>57</xdr:row>
      <xdr:rowOff>66675</xdr:rowOff>
    </xdr:from>
    <xdr:ext cx="619125" cy="485775"/>
    <xdr:grpSp>
      <xdr:nvGrpSpPr>
        <xdr:cNvPr id="259" name="Group 259"/>
        <xdr:cNvGrpSpPr>
          <a:grpSpLocks/>
        </xdr:cNvGrpSpPr>
      </xdr:nvGrpSpPr>
      <xdr:grpSpPr>
        <a:xfrm>
          <a:off x="1038225" y="6372225"/>
          <a:ext cx="619125" cy="485775"/>
          <a:chOff x="537" y="194"/>
          <a:chExt cx="51" cy="53"/>
        </a:xfrm>
        <a:solidFill>
          <a:srgbClr val="FFFFFF"/>
        </a:solidFill>
      </xdr:grpSpPr>
      <xdr:sp>
        <xdr:nvSpPr>
          <xdr:cNvPr id="260" name="Oval 260"/>
          <xdr:cNvSpPr>
            <a:spLocks/>
          </xdr:cNvSpPr>
        </xdr:nvSpPr>
        <xdr:spPr>
          <a:xfrm rot="21600000">
            <a:off x="537" y="194"/>
            <a:ext cx="51" cy="5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1" name="AutoShape 261"/>
          <xdr:cNvSpPr>
            <a:spLocks/>
          </xdr:cNvSpPr>
        </xdr:nvSpPr>
        <xdr:spPr>
          <a:xfrm rot="27000000">
            <a:off x="566" y="210"/>
            <a:ext cx="20" cy="19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9</xdr:col>
      <xdr:colOff>657225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0" y="666750"/>
        <a:ext cx="67341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22</xdr:row>
      <xdr:rowOff>9525</xdr:rowOff>
    </xdr:from>
    <xdr:to>
      <xdr:col>9</xdr:col>
      <xdr:colOff>638175</xdr:colOff>
      <xdr:row>39</xdr:row>
      <xdr:rowOff>142875</xdr:rowOff>
    </xdr:to>
    <xdr:graphicFrame>
      <xdr:nvGraphicFramePr>
        <xdr:cNvPr id="2" name="Chart 2"/>
        <xdr:cNvGraphicFramePr/>
      </xdr:nvGraphicFramePr>
      <xdr:xfrm>
        <a:off x="57150" y="3762375"/>
        <a:ext cx="66579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41</xdr:row>
      <xdr:rowOff>9525</xdr:rowOff>
    </xdr:from>
    <xdr:to>
      <xdr:col>9</xdr:col>
      <xdr:colOff>647700</xdr:colOff>
      <xdr:row>59</xdr:row>
      <xdr:rowOff>133350</xdr:rowOff>
    </xdr:to>
    <xdr:graphicFrame>
      <xdr:nvGraphicFramePr>
        <xdr:cNvPr id="3" name="Chart 3"/>
        <xdr:cNvGraphicFramePr/>
      </xdr:nvGraphicFramePr>
      <xdr:xfrm>
        <a:off x="19050" y="6858000"/>
        <a:ext cx="6705600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152400</xdr:colOff>
      <xdr:row>3</xdr:row>
      <xdr:rowOff>9525</xdr:rowOff>
    </xdr:from>
    <xdr:to>
      <xdr:col>19</xdr:col>
      <xdr:colOff>638175</xdr:colOff>
      <xdr:row>20</xdr:row>
      <xdr:rowOff>123825</xdr:rowOff>
    </xdr:to>
    <xdr:graphicFrame>
      <xdr:nvGraphicFramePr>
        <xdr:cNvPr id="4" name="Chart 4"/>
        <xdr:cNvGraphicFramePr/>
      </xdr:nvGraphicFramePr>
      <xdr:xfrm>
        <a:off x="6896100" y="666750"/>
        <a:ext cx="6581775" cy="2867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152400</xdr:colOff>
      <xdr:row>22</xdr:row>
      <xdr:rowOff>19050</xdr:rowOff>
    </xdr:from>
    <xdr:to>
      <xdr:col>19</xdr:col>
      <xdr:colOff>647700</xdr:colOff>
      <xdr:row>39</xdr:row>
      <xdr:rowOff>142875</xdr:rowOff>
    </xdr:to>
    <xdr:graphicFrame>
      <xdr:nvGraphicFramePr>
        <xdr:cNvPr id="5" name="Chart 5"/>
        <xdr:cNvGraphicFramePr/>
      </xdr:nvGraphicFramePr>
      <xdr:xfrm>
        <a:off x="6896100" y="3771900"/>
        <a:ext cx="6591300" cy="2876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152400</xdr:colOff>
      <xdr:row>41</xdr:row>
      <xdr:rowOff>9525</xdr:rowOff>
    </xdr:from>
    <xdr:to>
      <xdr:col>20</xdr:col>
      <xdr:colOff>0</xdr:colOff>
      <xdr:row>59</xdr:row>
      <xdr:rowOff>133350</xdr:rowOff>
    </xdr:to>
    <xdr:graphicFrame>
      <xdr:nvGraphicFramePr>
        <xdr:cNvPr id="6" name="Chart 6"/>
        <xdr:cNvGraphicFramePr/>
      </xdr:nvGraphicFramePr>
      <xdr:xfrm>
        <a:off x="6896100" y="6858000"/>
        <a:ext cx="6610350" cy="3038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20</xdr:col>
      <xdr:colOff>123825</xdr:colOff>
      <xdr:row>3</xdr:row>
      <xdr:rowOff>9525</xdr:rowOff>
    </xdr:from>
    <xdr:to>
      <xdr:col>29</xdr:col>
      <xdr:colOff>600075</xdr:colOff>
      <xdr:row>20</xdr:row>
      <xdr:rowOff>95250</xdr:rowOff>
    </xdr:to>
    <xdr:graphicFrame>
      <xdr:nvGraphicFramePr>
        <xdr:cNvPr id="7" name="Chart 7"/>
        <xdr:cNvGraphicFramePr/>
      </xdr:nvGraphicFramePr>
      <xdr:xfrm>
        <a:off x="13630275" y="666750"/>
        <a:ext cx="6477000" cy="2838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133350</xdr:colOff>
      <xdr:row>22</xdr:row>
      <xdr:rowOff>19050</xdr:rowOff>
    </xdr:from>
    <xdr:to>
      <xdr:col>29</xdr:col>
      <xdr:colOff>561975</xdr:colOff>
      <xdr:row>39</xdr:row>
      <xdr:rowOff>123825</xdr:rowOff>
    </xdr:to>
    <xdr:graphicFrame>
      <xdr:nvGraphicFramePr>
        <xdr:cNvPr id="8" name="Chart 8"/>
        <xdr:cNvGraphicFramePr/>
      </xdr:nvGraphicFramePr>
      <xdr:xfrm>
        <a:off x="13639800" y="3771900"/>
        <a:ext cx="6429375" cy="2857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20</xdr:col>
      <xdr:colOff>9525</xdr:colOff>
      <xdr:row>41</xdr:row>
      <xdr:rowOff>9525</xdr:rowOff>
    </xdr:from>
    <xdr:to>
      <xdr:col>30</xdr:col>
      <xdr:colOff>19050</xdr:colOff>
      <xdr:row>59</xdr:row>
      <xdr:rowOff>123825</xdr:rowOff>
    </xdr:to>
    <xdr:graphicFrame>
      <xdr:nvGraphicFramePr>
        <xdr:cNvPr id="9" name="Chart 9"/>
        <xdr:cNvGraphicFramePr/>
      </xdr:nvGraphicFramePr>
      <xdr:xfrm>
        <a:off x="13515975" y="6858000"/>
        <a:ext cx="6677025" cy="30289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30</xdr:col>
      <xdr:colOff>0</xdr:colOff>
      <xdr:row>4</xdr:row>
      <xdr:rowOff>9525</xdr:rowOff>
    </xdr:from>
    <xdr:to>
      <xdr:col>30</xdr:col>
      <xdr:colOff>19050</xdr:colOff>
      <xdr:row>20</xdr:row>
      <xdr:rowOff>152400</xdr:rowOff>
    </xdr:to>
    <xdr:graphicFrame>
      <xdr:nvGraphicFramePr>
        <xdr:cNvPr id="10" name="Chart 10"/>
        <xdr:cNvGraphicFramePr/>
      </xdr:nvGraphicFramePr>
      <xdr:xfrm>
        <a:off x="20173950" y="828675"/>
        <a:ext cx="19050" cy="27336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30</xdr:col>
      <xdr:colOff>0</xdr:colOff>
      <xdr:row>22</xdr:row>
      <xdr:rowOff>9525</xdr:rowOff>
    </xdr:from>
    <xdr:to>
      <xdr:col>30</xdr:col>
      <xdr:colOff>85725</xdr:colOff>
      <xdr:row>39</xdr:row>
      <xdr:rowOff>152400</xdr:rowOff>
    </xdr:to>
    <xdr:graphicFrame>
      <xdr:nvGraphicFramePr>
        <xdr:cNvPr id="11" name="Chart 11"/>
        <xdr:cNvGraphicFramePr/>
      </xdr:nvGraphicFramePr>
      <xdr:xfrm>
        <a:off x="20173950" y="3762375"/>
        <a:ext cx="85725" cy="2895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30</xdr:col>
      <xdr:colOff>0</xdr:colOff>
      <xdr:row>41</xdr:row>
      <xdr:rowOff>9525</xdr:rowOff>
    </xdr:from>
    <xdr:to>
      <xdr:col>30</xdr:col>
      <xdr:colOff>0</xdr:colOff>
      <xdr:row>57</xdr:row>
      <xdr:rowOff>133350</xdr:rowOff>
    </xdr:to>
    <xdr:graphicFrame>
      <xdr:nvGraphicFramePr>
        <xdr:cNvPr id="12" name="Chart 12"/>
        <xdr:cNvGraphicFramePr/>
      </xdr:nvGraphicFramePr>
      <xdr:xfrm>
        <a:off x="20173950" y="6858000"/>
        <a:ext cx="0" cy="27146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30</xdr:col>
      <xdr:colOff>123825</xdr:colOff>
      <xdr:row>4</xdr:row>
      <xdr:rowOff>38100</xdr:rowOff>
    </xdr:from>
    <xdr:to>
      <xdr:col>39</xdr:col>
      <xdr:colOff>638175</xdr:colOff>
      <xdr:row>57</xdr:row>
      <xdr:rowOff>133350</xdr:rowOff>
    </xdr:to>
    <xdr:graphicFrame>
      <xdr:nvGraphicFramePr>
        <xdr:cNvPr id="13" name="Chart 13"/>
        <xdr:cNvGraphicFramePr/>
      </xdr:nvGraphicFramePr>
      <xdr:xfrm>
        <a:off x="20297775" y="857250"/>
        <a:ext cx="6515100" cy="87153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40</xdr:col>
      <xdr:colOff>314325</xdr:colOff>
      <xdr:row>3</xdr:row>
      <xdr:rowOff>9525</xdr:rowOff>
    </xdr:from>
    <xdr:to>
      <xdr:col>49</xdr:col>
      <xdr:colOff>666750</xdr:colOff>
      <xdr:row>27</xdr:row>
      <xdr:rowOff>133350</xdr:rowOff>
    </xdr:to>
    <xdr:graphicFrame>
      <xdr:nvGraphicFramePr>
        <xdr:cNvPr id="14" name="Chart 14"/>
        <xdr:cNvGraphicFramePr/>
      </xdr:nvGraphicFramePr>
      <xdr:xfrm>
        <a:off x="27155775" y="666750"/>
        <a:ext cx="6353175" cy="40290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40</xdr:col>
      <xdr:colOff>390525</xdr:colOff>
      <xdr:row>31</xdr:row>
      <xdr:rowOff>9525</xdr:rowOff>
    </xdr:from>
    <xdr:to>
      <xdr:col>49</xdr:col>
      <xdr:colOff>666750</xdr:colOff>
      <xdr:row>55</xdr:row>
      <xdr:rowOff>142875</xdr:rowOff>
    </xdr:to>
    <xdr:graphicFrame>
      <xdr:nvGraphicFramePr>
        <xdr:cNvPr id="15" name="Chart 15"/>
        <xdr:cNvGraphicFramePr/>
      </xdr:nvGraphicFramePr>
      <xdr:xfrm>
        <a:off x="27231975" y="5219700"/>
        <a:ext cx="6276975" cy="4038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50</xdr:col>
      <xdr:colOff>247650</xdr:colOff>
      <xdr:row>3</xdr:row>
      <xdr:rowOff>9525</xdr:rowOff>
    </xdr:from>
    <xdr:to>
      <xdr:col>60</xdr:col>
      <xdr:colOff>0</xdr:colOff>
      <xdr:row>15</xdr:row>
      <xdr:rowOff>152400</xdr:rowOff>
    </xdr:to>
    <xdr:graphicFrame>
      <xdr:nvGraphicFramePr>
        <xdr:cNvPr id="16" name="Chart 16"/>
        <xdr:cNvGraphicFramePr/>
      </xdr:nvGraphicFramePr>
      <xdr:xfrm>
        <a:off x="33756600" y="666750"/>
        <a:ext cx="6419850" cy="2085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50</xdr:col>
      <xdr:colOff>276225</xdr:colOff>
      <xdr:row>17</xdr:row>
      <xdr:rowOff>9525</xdr:rowOff>
    </xdr:from>
    <xdr:to>
      <xdr:col>60</xdr:col>
      <xdr:colOff>0</xdr:colOff>
      <xdr:row>29</xdr:row>
      <xdr:rowOff>142875</xdr:rowOff>
    </xdr:to>
    <xdr:graphicFrame>
      <xdr:nvGraphicFramePr>
        <xdr:cNvPr id="17" name="Chart 17"/>
        <xdr:cNvGraphicFramePr/>
      </xdr:nvGraphicFramePr>
      <xdr:xfrm>
        <a:off x="33785175" y="2933700"/>
        <a:ext cx="6391275" cy="2095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50</xdr:col>
      <xdr:colOff>171450</xdr:colOff>
      <xdr:row>31</xdr:row>
      <xdr:rowOff>38100</xdr:rowOff>
    </xdr:from>
    <xdr:to>
      <xdr:col>60</xdr:col>
      <xdr:colOff>0</xdr:colOff>
      <xdr:row>43</xdr:row>
      <xdr:rowOff>152400</xdr:rowOff>
    </xdr:to>
    <xdr:graphicFrame>
      <xdr:nvGraphicFramePr>
        <xdr:cNvPr id="18" name="Chart 18"/>
        <xdr:cNvGraphicFramePr/>
      </xdr:nvGraphicFramePr>
      <xdr:xfrm>
        <a:off x="33680400" y="5248275"/>
        <a:ext cx="6496050" cy="20764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50</xdr:col>
      <xdr:colOff>247650</xdr:colOff>
      <xdr:row>45</xdr:row>
      <xdr:rowOff>9525</xdr:rowOff>
    </xdr:from>
    <xdr:to>
      <xdr:col>59</xdr:col>
      <xdr:colOff>666750</xdr:colOff>
      <xdr:row>57</xdr:row>
      <xdr:rowOff>152400</xdr:rowOff>
    </xdr:to>
    <xdr:graphicFrame>
      <xdr:nvGraphicFramePr>
        <xdr:cNvPr id="19" name="Chart 19"/>
        <xdr:cNvGraphicFramePr/>
      </xdr:nvGraphicFramePr>
      <xdr:xfrm>
        <a:off x="33756600" y="7505700"/>
        <a:ext cx="6419850" cy="2085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</xdr:col>
      <xdr:colOff>485775</xdr:colOff>
      <xdr:row>68</xdr:row>
      <xdr:rowOff>66675</xdr:rowOff>
    </xdr:from>
    <xdr:to>
      <xdr:col>4</xdr:col>
      <xdr:colOff>304800</xdr:colOff>
      <xdr:row>70</xdr:row>
      <xdr:rowOff>9525</xdr:rowOff>
    </xdr:to>
    <xdr:sp>
      <xdr:nvSpPr>
        <xdr:cNvPr id="20" name="AutoShape 20"/>
        <xdr:cNvSpPr>
          <a:spLocks/>
        </xdr:cNvSpPr>
      </xdr:nvSpPr>
      <xdr:spPr>
        <a:xfrm>
          <a:off x="1819275" y="11325225"/>
          <a:ext cx="1181100" cy="285750"/>
        </a:xfrm>
        <a:prstGeom prst="rect"/>
        <a:noFill/>
      </xdr:spPr>
      <xdr:txBody>
        <a:bodyPr fromWordArt="1" wrap="none">
          <a:prstTxWarp prst="textArchUp">
            <a:avLst>
              <a:gd name="adj" fmla="val -5444879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tiptop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4</xdr:row>
      <xdr:rowOff>9525</xdr:rowOff>
    </xdr:from>
    <xdr:to>
      <xdr:col>30</xdr:col>
      <xdr:colOff>19050</xdr:colOff>
      <xdr:row>20</xdr:row>
      <xdr:rowOff>152400</xdr:rowOff>
    </xdr:to>
    <xdr:graphicFrame>
      <xdr:nvGraphicFramePr>
        <xdr:cNvPr id="1" name="Chart 10"/>
        <xdr:cNvGraphicFramePr/>
      </xdr:nvGraphicFramePr>
      <xdr:xfrm>
        <a:off x="20173950" y="828675"/>
        <a:ext cx="190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0</xdr:colOff>
      <xdr:row>22</xdr:row>
      <xdr:rowOff>9525</xdr:rowOff>
    </xdr:from>
    <xdr:to>
      <xdr:col>30</xdr:col>
      <xdr:colOff>85725</xdr:colOff>
      <xdr:row>39</xdr:row>
      <xdr:rowOff>152400</xdr:rowOff>
    </xdr:to>
    <xdr:graphicFrame>
      <xdr:nvGraphicFramePr>
        <xdr:cNvPr id="2" name="Chart 11"/>
        <xdr:cNvGraphicFramePr/>
      </xdr:nvGraphicFramePr>
      <xdr:xfrm>
        <a:off x="20173950" y="3762375"/>
        <a:ext cx="8572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0</xdr:colOff>
      <xdr:row>41</xdr:row>
      <xdr:rowOff>9525</xdr:rowOff>
    </xdr:from>
    <xdr:to>
      <xdr:col>30</xdr:col>
      <xdr:colOff>0</xdr:colOff>
      <xdr:row>57</xdr:row>
      <xdr:rowOff>133350</xdr:rowOff>
    </xdr:to>
    <xdr:graphicFrame>
      <xdr:nvGraphicFramePr>
        <xdr:cNvPr id="3" name="Chart 12"/>
        <xdr:cNvGraphicFramePr/>
      </xdr:nvGraphicFramePr>
      <xdr:xfrm>
        <a:off x="20173950" y="6858000"/>
        <a:ext cx="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485775</xdr:colOff>
      <xdr:row>68</xdr:row>
      <xdr:rowOff>66675</xdr:rowOff>
    </xdr:from>
    <xdr:to>
      <xdr:col>4</xdr:col>
      <xdr:colOff>304800</xdr:colOff>
      <xdr:row>70</xdr:row>
      <xdr:rowOff>9525</xdr:rowOff>
    </xdr:to>
    <xdr:sp>
      <xdr:nvSpPr>
        <xdr:cNvPr id="4" name="AutoShape 20"/>
        <xdr:cNvSpPr>
          <a:spLocks/>
        </xdr:cNvSpPr>
      </xdr:nvSpPr>
      <xdr:spPr>
        <a:xfrm>
          <a:off x="1819275" y="11325225"/>
          <a:ext cx="1181100" cy="285750"/>
        </a:xfrm>
        <a:prstGeom prst="rect"/>
        <a:noFill/>
      </xdr:spPr>
      <xdr:txBody>
        <a:bodyPr fromWordArt="1" wrap="none">
          <a:prstTxWarp prst="textArchUp">
            <a:avLst>
              <a:gd name="adj" fmla="val -5444879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tiptop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9</xdr:col>
      <xdr:colOff>600075</xdr:colOff>
      <xdr:row>20</xdr:row>
      <xdr:rowOff>123825</xdr:rowOff>
    </xdr:to>
    <xdr:graphicFrame>
      <xdr:nvGraphicFramePr>
        <xdr:cNvPr id="5" name="Chart 21"/>
        <xdr:cNvGraphicFramePr/>
      </xdr:nvGraphicFramePr>
      <xdr:xfrm>
        <a:off x="0" y="666750"/>
        <a:ext cx="6677025" cy="2867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581025</xdr:colOff>
      <xdr:row>39</xdr:row>
      <xdr:rowOff>133350</xdr:rowOff>
    </xdr:to>
    <xdr:graphicFrame>
      <xdr:nvGraphicFramePr>
        <xdr:cNvPr id="6" name="Chart 22"/>
        <xdr:cNvGraphicFramePr/>
      </xdr:nvGraphicFramePr>
      <xdr:xfrm>
        <a:off x="0" y="3752850"/>
        <a:ext cx="6657975" cy="2886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41</xdr:row>
      <xdr:rowOff>9525</xdr:rowOff>
    </xdr:from>
    <xdr:to>
      <xdr:col>9</xdr:col>
      <xdr:colOff>619125</xdr:colOff>
      <xdr:row>59</xdr:row>
      <xdr:rowOff>133350</xdr:rowOff>
    </xdr:to>
    <xdr:graphicFrame>
      <xdr:nvGraphicFramePr>
        <xdr:cNvPr id="7" name="Chart 23"/>
        <xdr:cNvGraphicFramePr/>
      </xdr:nvGraphicFramePr>
      <xdr:xfrm>
        <a:off x="0" y="6858000"/>
        <a:ext cx="6696075" cy="3038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123825</xdr:colOff>
      <xdr:row>3</xdr:row>
      <xdr:rowOff>9525</xdr:rowOff>
    </xdr:from>
    <xdr:to>
      <xdr:col>19</xdr:col>
      <xdr:colOff>600075</xdr:colOff>
      <xdr:row>20</xdr:row>
      <xdr:rowOff>123825</xdr:rowOff>
    </xdr:to>
    <xdr:graphicFrame>
      <xdr:nvGraphicFramePr>
        <xdr:cNvPr id="8" name="Chart 24"/>
        <xdr:cNvGraphicFramePr/>
      </xdr:nvGraphicFramePr>
      <xdr:xfrm>
        <a:off x="6867525" y="666750"/>
        <a:ext cx="6572250" cy="2867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76200</xdr:colOff>
      <xdr:row>22</xdr:row>
      <xdr:rowOff>0</xdr:rowOff>
    </xdr:from>
    <xdr:to>
      <xdr:col>19</xdr:col>
      <xdr:colOff>571500</xdr:colOff>
      <xdr:row>39</xdr:row>
      <xdr:rowOff>123825</xdr:rowOff>
    </xdr:to>
    <xdr:graphicFrame>
      <xdr:nvGraphicFramePr>
        <xdr:cNvPr id="9" name="Chart 25"/>
        <xdr:cNvGraphicFramePr/>
      </xdr:nvGraphicFramePr>
      <xdr:xfrm>
        <a:off x="6819900" y="3752850"/>
        <a:ext cx="6591300" cy="2876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57150</xdr:colOff>
      <xdr:row>41</xdr:row>
      <xdr:rowOff>0</xdr:rowOff>
    </xdr:from>
    <xdr:to>
      <xdr:col>19</xdr:col>
      <xdr:colOff>571500</xdr:colOff>
      <xdr:row>59</xdr:row>
      <xdr:rowOff>123825</xdr:rowOff>
    </xdr:to>
    <xdr:graphicFrame>
      <xdr:nvGraphicFramePr>
        <xdr:cNvPr id="10" name="Chart 26"/>
        <xdr:cNvGraphicFramePr/>
      </xdr:nvGraphicFramePr>
      <xdr:xfrm>
        <a:off x="6800850" y="6848475"/>
        <a:ext cx="6610350" cy="3038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20</xdr:col>
      <xdr:colOff>28575</xdr:colOff>
      <xdr:row>3</xdr:row>
      <xdr:rowOff>0</xdr:rowOff>
    </xdr:from>
    <xdr:to>
      <xdr:col>29</xdr:col>
      <xdr:colOff>514350</xdr:colOff>
      <xdr:row>20</xdr:row>
      <xdr:rowOff>85725</xdr:rowOff>
    </xdr:to>
    <xdr:graphicFrame>
      <xdr:nvGraphicFramePr>
        <xdr:cNvPr id="11" name="Chart 27"/>
        <xdr:cNvGraphicFramePr/>
      </xdr:nvGraphicFramePr>
      <xdr:xfrm>
        <a:off x="13535025" y="657225"/>
        <a:ext cx="6486525" cy="2838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95250</xdr:colOff>
      <xdr:row>22</xdr:row>
      <xdr:rowOff>9525</xdr:rowOff>
    </xdr:from>
    <xdr:to>
      <xdr:col>29</xdr:col>
      <xdr:colOff>523875</xdr:colOff>
      <xdr:row>39</xdr:row>
      <xdr:rowOff>114300</xdr:rowOff>
    </xdr:to>
    <xdr:graphicFrame>
      <xdr:nvGraphicFramePr>
        <xdr:cNvPr id="12" name="Chart 28"/>
        <xdr:cNvGraphicFramePr/>
      </xdr:nvGraphicFramePr>
      <xdr:xfrm>
        <a:off x="13601700" y="3762375"/>
        <a:ext cx="6429375" cy="2857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76200</xdr:colOff>
      <xdr:row>41</xdr:row>
      <xdr:rowOff>0</xdr:rowOff>
    </xdr:from>
    <xdr:to>
      <xdr:col>30</xdr:col>
      <xdr:colOff>85725</xdr:colOff>
      <xdr:row>59</xdr:row>
      <xdr:rowOff>114300</xdr:rowOff>
    </xdr:to>
    <xdr:graphicFrame>
      <xdr:nvGraphicFramePr>
        <xdr:cNvPr id="13" name="Chart 29"/>
        <xdr:cNvGraphicFramePr/>
      </xdr:nvGraphicFramePr>
      <xdr:xfrm>
        <a:off x="13582650" y="6848475"/>
        <a:ext cx="6677025" cy="30289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30</xdr:col>
      <xdr:colOff>0</xdr:colOff>
      <xdr:row>4</xdr:row>
      <xdr:rowOff>9525</xdr:rowOff>
    </xdr:from>
    <xdr:to>
      <xdr:col>30</xdr:col>
      <xdr:colOff>19050</xdr:colOff>
      <xdr:row>20</xdr:row>
      <xdr:rowOff>152400</xdr:rowOff>
    </xdr:to>
    <xdr:graphicFrame>
      <xdr:nvGraphicFramePr>
        <xdr:cNvPr id="14" name="Chart 30"/>
        <xdr:cNvGraphicFramePr/>
      </xdr:nvGraphicFramePr>
      <xdr:xfrm>
        <a:off x="20173950" y="828675"/>
        <a:ext cx="19050" cy="27336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30</xdr:col>
      <xdr:colOff>0</xdr:colOff>
      <xdr:row>22</xdr:row>
      <xdr:rowOff>9525</xdr:rowOff>
    </xdr:from>
    <xdr:to>
      <xdr:col>30</xdr:col>
      <xdr:colOff>85725</xdr:colOff>
      <xdr:row>39</xdr:row>
      <xdr:rowOff>152400</xdr:rowOff>
    </xdr:to>
    <xdr:graphicFrame>
      <xdr:nvGraphicFramePr>
        <xdr:cNvPr id="15" name="Chart 31"/>
        <xdr:cNvGraphicFramePr/>
      </xdr:nvGraphicFramePr>
      <xdr:xfrm>
        <a:off x="20173950" y="3762375"/>
        <a:ext cx="85725" cy="28956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30</xdr:col>
      <xdr:colOff>0</xdr:colOff>
      <xdr:row>41</xdr:row>
      <xdr:rowOff>9525</xdr:rowOff>
    </xdr:from>
    <xdr:to>
      <xdr:col>30</xdr:col>
      <xdr:colOff>0</xdr:colOff>
      <xdr:row>57</xdr:row>
      <xdr:rowOff>133350</xdr:rowOff>
    </xdr:to>
    <xdr:graphicFrame>
      <xdr:nvGraphicFramePr>
        <xdr:cNvPr id="16" name="Chart 32"/>
        <xdr:cNvGraphicFramePr/>
      </xdr:nvGraphicFramePr>
      <xdr:xfrm>
        <a:off x="20173950" y="6858000"/>
        <a:ext cx="0" cy="27146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30</xdr:col>
      <xdr:colOff>47625</xdr:colOff>
      <xdr:row>4</xdr:row>
      <xdr:rowOff>28575</xdr:rowOff>
    </xdr:from>
    <xdr:to>
      <xdr:col>39</xdr:col>
      <xdr:colOff>561975</xdr:colOff>
      <xdr:row>57</xdr:row>
      <xdr:rowOff>123825</xdr:rowOff>
    </xdr:to>
    <xdr:graphicFrame>
      <xdr:nvGraphicFramePr>
        <xdr:cNvPr id="17" name="Chart 33"/>
        <xdr:cNvGraphicFramePr/>
      </xdr:nvGraphicFramePr>
      <xdr:xfrm>
        <a:off x="20221575" y="847725"/>
        <a:ext cx="6515100" cy="87153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40</xdr:col>
      <xdr:colOff>142875</xdr:colOff>
      <xdr:row>3</xdr:row>
      <xdr:rowOff>9525</xdr:rowOff>
    </xdr:from>
    <xdr:to>
      <xdr:col>49</xdr:col>
      <xdr:colOff>495300</xdr:colOff>
      <xdr:row>27</xdr:row>
      <xdr:rowOff>133350</xdr:rowOff>
    </xdr:to>
    <xdr:graphicFrame>
      <xdr:nvGraphicFramePr>
        <xdr:cNvPr id="18" name="Chart 34"/>
        <xdr:cNvGraphicFramePr/>
      </xdr:nvGraphicFramePr>
      <xdr:xfrm>
        <a:off x="26984325" y="666750"/>
        <a:ext cx="6353175" cy="40290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40</xdr:col>
      <xdr:colOff>161925</xdr:colOff>
      <xdr:row>29</xdr:row>
      <xdr:rowOff>9525</xdr:rowOff>
    </xdr:from>
    <xdr:to>
      <xdr:col>49</xdr:col>
      <xdr:colOff>438150</xdr:colOff>
      <xdr:row>53</xdr:row>
      <xdr:rowOff>142875</xdr:rowOff>
    </xdr:to>
    <xdr:graphicFrame>
      <xdr:nvGraphicFramePr>
        <xdr:cNvPr id="19" name="Chart 35"/>
        <xdr:cNvGraphicFramePr/>
      </xdr:nvGraphicFramePr>
      <xdr:xfrm>
        <a:off x="27003375" y="4895850"/>
        <a:ext cx="6276975" cy="40386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50</xdr:col>
      <xdr:colOff>142875</xdr:colOff>
      <xdr:row>3</xdr:row>
      <xdr:rowOff>38100</xdr:rowOff>
    </xdr:from>
    <xdr:to>
      <xdr:col>59</xdr:col>
      <xdr:colOff>561975</xdr:colOff>
      <xdr:row>16</xdr:row>
      <xdr:rowOff>19050</xdr:rowOff>
    </xdr:to>
    <xdr:graphicFrame>
      <xdr:nvGraphicFramePr>
        <xdr:cNvPr id="20" name="Chart 36"/>
        <xdr:cNvGraphicFramePr/>
      </xdr:nvGraphicFramePr>
      <xdr:xfrm>
        <a:off x="33651825" y="695325"/>
        <a:ext cx="6419850" cy="2085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50</xdr:col>
      <xdr:colOff>142875</xdr:colOff>
      <xdr:row>17</xdr:row>
      <xdr:rowOff>9525</xdr:rowOff>
    </xdr:from>
    <xdr:to>
      <xdr:col>59</xdr:col>
      <xdr:colOff>533400</xdr:colOff>
      <xdr:row>29</xdr:row>
      <xdr:rowOff>142875</xdr:rowOff>
    </xdr:to>
    <xdr:graphicFrame>
      <xdr:nvGraphicFramePr>
        <xdr:cNvPr id="21" name="Chart 37"/>
        <xdr:cNvGraphicFramePr/>
      </xdr:nvGraphicFramePr>
      <xdr:xfrm>
        <a:off x="33651825" y="2933700"/>
        <a:ext cx="6391275" cy="2095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50</xdr:col>
      <xdr:colOff>47625</xdr:colOff>
      <xdr:row>31</xdr:row>
      <xdr:rowOff>28575</xdr:rowOff>
    </xdr:from>
    <xdr:to>
      <xdr:col>59</xdr:col>
      <xdr:colOff>533400</xdr:colOff>
      <xdr:row>43</xdr:row>
      <xdr:rowOff>142875</xdr:rowOff>
    </xdr:to>
    <xdr:graphicFrame>
      <xdr:nvGraphicFramePr>
        <xdr:cNvPr id="22" name="Chart 38"/>
        <xdr:cNvGraphicFramePr/>
      </xdr:nvGraphicFramePr>
      <xdr:xfrm>
        <a:off x="33556575" y="5238750"/>
        <a:ext cx="6486525" cy="20764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50</xdr:col>
      <xdr:colOff>28575</xdr:colOff>
      <xdr:row>45</xdr:row>
      <xdr:rowOff>28575</xdr:rowOff>
    </xdr:from>
    <xdr:to>
      <xdr:col>59</xdr:col>
      <xdr:colOff>447675</xdr:colOff>
      <xdr:row>58</xdr:row>
      <xdr:rowOff>9525</xdr:rowOff>
    </xdr:to>
    <xdr:graphicFrame>
      <xdr:nvGraphicFramePr>
        <xdr:cNvPr id="23" name="Chart 39"/>
        <xdr:cNvGraphicFramePr/>
      </xdr:nvGraphicFramePr>
      <xdr:xfrm>
        <a:off x="33537525" y="7524750"/>
        <a:ext cx="6419850" cy="2085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</xdr:col>
      <xdr:colOff>485775</xdr:colOff>
      <xdr:row>68</xdr:row>
      <xdr:rowOff>66675</xdr:rowOff>
    </xdr:from>
    <xdr:to>
      <xdr:col>4</xdr:col>
      <xdr:colOff>304800</xdr:colOff>
      <xdr:row>70</xdr:row>
      <xdr:rowOff>9525</xdr:rowOff>
    </xdr:to>
    <xdr:sp>
      <xdr:nvSpPr>
        <xdr:cNvPr id="24" name="AutoShape 40"/>
        <xdr:cNvSpPr>
          <a:spLocks/>
        </xdr:cNvSpPr>
      </xdr:nvSpPr>
      <xdr:spPr>
        <a:xfrm>
          <a:off x="1819275" y="11325225"/>
          <a:ext cx="1181100" cy="285750"/>
        </a:xfrm>
        <a:prstGeom prst="rect"/>
        <a:noFill/>
      </xdr:spPr>
      <xdr:txBody>
        <a:bodyPr fromWordArt="1" wrap="none">
          <a:prstTxWarp prst="textArchUp">
            <a:avLst>
              <a:gd name="adj" fmla="val -5444879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tiptop</a:t>
          </a:r>
        </a:p>
      </xdr:txBody>
    </xdr:sp>
    <xdr:clientData/>
  </xdr:twoCellAnchor>
  <xdr:twoCellAnchor>
    <xdr:from>
      <xdr:col>6</xdr:col>
      <xdr:colOff>180975</xdr:colOff>
      <xdr:row>134</xdr:row>
      <xdr:rowOff>9525</xdr:rowOff>
    </xdr:from>
    <xdr:to>
      <xdr:col>15</xdr:col>
      <xdr:colOff>361950</xdr:colOff>
      <xdr:row>155</xdr:row>
      <xdr:rowOff>142875</xdr:rowOff>
    </xdr:to>
    <xdr:graphicFrame>
      <xdr:nvGraphicFramePr>
        <xdr:cNvPr id="25" name="Chart 46"/>
        <xdr:cNvGraphicFramePr/>
      </xdr:nvGraphicFramePr>
      <xdr:xfrm>
        <a:off x="4238625" y="22174200"/>
        <a:ext cx="6296025" cy="35337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3</xdr:row>
      <xdr:rowOff>9525</xdr:rowOff>
    </xdr:from>
    <xdr:to>
      <xdr:col>19</xdr:col>
      <xdr:colOff>628650</xdr:colOff>
      <xdr:row>20</xdr:row>
      <xdr:rowOff>123825</xdr:rowOff>
    </xdr:to>
    <xdr:graphicFrame>
      <xdr:nvGraphicFramePr>
        <xdr:cNvPr id="1" name="Chart 4"/>
        <xdr:cNvGraphicFramePr/>
      </xdr:nvGraphicFramePr>
      <xdr:xfrm>
        <a:off x="7105650" y="666750"/>
        <a:ext cx="67341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152400</xdr:colOff>
      <xdr:row>22</xdr:row>
      <xdr:rowOff>19050</xdr:rowOff>
    </xdr:from>
    <xdr:to>
      <xdr:col>19</xdr:col>
      <xdr:colOff>638175</xdr:colOff>
      <xdr:row>39</xdr:row>
      <xdr:rowOff>142875</xdr:rowOff>
    </xdr:to>
    <xdr:graphicFrame>
      <xdr:nvGraphicFramePr>
        <xdr:cNvPr id="2" name="Chart 5"/>
        <xdr:cNvGraphicFramePr/>
      </xdr:nvGraphicFramePr>
      <xdr:xfrm>
        <a:off x="7105650" y="3771900"/>
        <a:ext cx="674370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152400</xdr:colOff>
      <xdr:row>41</xdr:row>
      <xdr:rowOff>9525</xdr:rowOff>
    </xdr:from>
    <xdr:to>
      <xdr:col>19</xdr:col>
      <xdr:colOff>685800</xdr:colOff>
      <xdr:row>59</xdr:row>
      <xdr:rowOff>133350</xdr:rowOff>
    </xdr:to>
    <xdr:graphicFrame>
      <xdr:nvGraphicFramePr>
        <xdr:cNvPr id="3" name="Chart 6"/>
        <xdr:cNvGraphicFramePr/>
      </xdr:nvGraphicFramePr>
      <xdr:xfrm>
        <a:off x="7105650" y="6858000"/>
        <a:ext cx="6791325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30</xdr:col>
      <xdr:colOff>0</xdr:colOff>
      <xdr:row>4</xdr:row>
      <xdr:rowOff>9525</xdr:rowOff>
    </xdr:from>
    <xdr:to>
      <xdr:col>30</xdr:col>
      <xdr:colOff>19050</xdr:colOff>
      <xdr:row>20</xdr:row>
      <xdr:rowOff>152400</xdr:rowOff>
    </xdr:to>
    <xdr:graphicFrame>
      <xdr:nvGraphicFramePr>
        <xdr:cNvPr id="4" name="Chart 10"/>
        <xdr:cNvGraphicFramePr/>
      </xdr:nvGraphicFramePr>
      <xdr:xfrm>
        <a:off x="20859750" y="828675"/>
        <a:ext cx="19050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30</xdr:col>
      <xdr:colOff>0</xdr:colOff>
      <xdr:row>22</xdr:row>
      <xdr:rowOff>9525</xdr:rowOff>
    </xdr:from>
    <xdr:to>
      <xdr:col>30</xdr:col>
      <xdr:colOff>85725</xdr:colOff>
      <xdr:row>39</xdr:row>
      <xdr:rowOff>152400</xdr:rowOff>
    </xdr:to>
    <xdr:graphicFrame>
      <xdr:nvGraphicFramePr>
        <xdr:cNvPr id="5" name="Chart 11"/>
        <xdr:cNvGraphicFramePr/>
      </xdr:nvGraphicFramePr>
      <xdr:xfrm>
        <a:off x="20859750" y="3762375"/>
        <a:ext cx="857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30</xdr:col>
      <xdr:colOff>0</xdr:colOff>
      <xdr:row>41</xdr:row>
      <xdr:rowOff>9525</xdr:rowOff>
    </xdr:from>
    <xdr:to>
      <xdr:col>30</xdr:col>
      <xdr:colOff>0</xdr:colOff>
      <xdr:row>57</xdr:row>
      <xdr:rowOff>133350</xdr:rowOff>
    </xdr:to>
    <xdr:graphicFrame>
      <xdr:nvGraphicFramePr>
        <xdr:cNvPr id="6" name="Chart 12"/>
        <xdr:cNvGraphicFramePr/>
      </xdr:nvGraphicFramePr>
      <xdr:xfrm>
        <a:off x="20859750" y="6858000"/>
        <a:ext cx="0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30</xdr:col>
      <xdr:colOff>123825</xdr:colOff>
      <xdr:row>4</xdr:row>
      <xdr:rowOff>38100</xdr:rowOff>
    </xdr:from>
    <xdr:to>
      <xdr:col>39</xdr:col>
      <xdr:colOff>628650</xdr:colOff>
      <xdr:row>57</xdr:row>
      <xdr:rowOff>133350</xdr:rowOff>
    </xdr:to>
    <xdr:graphicFrame>
      <xdr:nvGraphicFramePr>
        <xdr:cNvPr id="7" name="Chart 13"/>
        <xdr:cNvGraphicFramePr/>
      </xdr:nvGraphicFramePr>
      <xdr:xfrm>
        <a:off x="20983575" y="857250"/>
        <a:ext cx="6762750" cy="8715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476250</xdr:colOff>
      <xdr:row>68</xdr:row>
      <xdr:rowOff>66675</xdr:rowOff>
    </xdr:from>
    <xdr:to>
      <xdr:col>4</xdr:col>
      <xdr:colOff>304800</xdr:colOff>
      <xdr:row>70</xdr:row>
      <xdr:rowOff>9525</xdr:rowOff>
    </xdr:to>
    <xdr:sp>
      <xdr:nvSpPr>
        <xdr:cNvPr id="8" name="AutoShape 20"/>
        <xdr:cNvSpPr>
          <a:spLocks/>
        </xdr:cNvSpPr>
      </xdr:nvSpPr>
      <xdr:spPr>
        <a:xfrm>
          <a:off x="1866900" y="11325225"/>
          <a:ext cx="1219200" cy="285750"/>
        </a:xfrm>
        <a:prstGeom prst="rect"/>
        <a:noFill/>
      </xdr:spPr>
      <xdr:txBody>
        <a:bodyPr fromWordArt="1" wrap="none">
          <a:prstTxWarp prst="textArchUp">
            <a:avLst>
              <a:gd name="adj" fmla="val -5444879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tiptop</a:t>
          </a:r>
        </a:p>
      </xdr:txBody>
    </xdr:sp>
    <xdr:clientData/>
  </xdr:twoCellAnchor>
  <xdr:twoCellAnchor>
    <xdr:from>
      <xdr:col>0</xdr:col>
      <xdr:colOff>57150</xdr:colOff>
      <xdr:row>3</xdr:row>
      <xdr:rowOff>19050</xdr:rowOff>
    </xdr:from>
    <xdr:to>
      <xdr:col>9</xdr:col>
      <xdr:colOff>571500</xdr:colOff>
      <xdr:row>20</xdr:row>
      <xdr:rowOff>133350</xdr:rowOff>
    </xdr:to>
    <xdr:graphicFrame>
      <xdr:nvGraphicFramePr>
        <xdr:cNvPr id="9" name="Chart 21"/>
        <xdr:cNvGraphicFramePr/>
      </xdr:nvGraphicFramePr>
      <xdr:xfrm>
        <a:off x="57150" y="676275"/>
        <a:ext cx="6772275" cy="2867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142875</xdr:colOff>
      <xdr:row>22</xdr:row>
      <xdr:rowOff>19050</xdr:rowOff>
    </xdr:from>
    <xdr:to>
      <xdr:col>9</xdr:col>
      <xdr:colOff>590550</xdr:colOff>
      <xdr:row>39</xdr:row>
      <xdr:rowOff>152400</xdr:rowOff>
    </xdr:to>
    <xdr:graphicFrame>
      <xdr:nvGraphicFramePr>
        <xdr:cNvPr id="10" name="Chart 22"/>
        <xdr:cNvGraphicFramePr/>
      </xdr:nvGraphicFramePr>
      <xdr:xfrm>
        <a:off x="142875" y="3771900"/>
        <a:ext cx="6705600" cy="2886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161925</xdr:colOff>
      <xdr:row>41</xdr:row>
      <xdr:rowOff>19050</xdr:rowOff>
    </xdr:from>
    <xdr:to>
      <xdr:col>9</xdr:col>
      <xdr:colOff>600075</xdr:colOff>
      <xdr:row>59</xdr:row>
      <xdr:rowOff>28575</xdr:rowOff>
    </xdr:to>
    <xdr:graphicFrame>
      <xdr:nvGraphicFramePr>
        <xdr:cNvPr id="11" name="Chart 23"/>
        <xdr:cNvGraphicFramePr/>
      </xdr:nvGraphicFramePr>
      <xdr:xfrm>
        <a:off x="161925" y="6867525"/>
        <a:ext cx="6696075" cy="2924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85725</xdr:colOff>
      <xdr:row>3</xdr:row>
      <xdr:rowOff>47625</xdr:rowOff>
    </xdr:from>
    <xdr:to>
      <xdr:col>29</xdr:col>
      <xdr:colOff>561975</xdr:colOff>
      <xdr:row>20</xdr:row>
      <xdr:rowOff>133350</xdr:rowOff>
    </xdr:to>
    <xdr:graphicFrame>
      <xdr:nvGraphicFramePr>
        <xdr:cNvPr id="12" name="Chart 27"/>
        <xdr:cNvGraphicFramePr/>
      </xdr:nvGraphicFramePr>
      <xdr:xfrm>
        <a:off x="13992225" y="704850"/>
        <a:ext cx="6734175" cy="28384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133350</xdr:colOff>
      <xdr:row>22</xdr:row>
      <xdr:rowOff>19050</xdr:rowOff>
    </xdr:from>
    <xdr:to>
      <xdr:col>29</xdr:col>
      <xdr:colOff>552450</xdr:colOff>
      <xdr:row>39</xdr:row>
      <xdr:rowOff>123825</xdr:rowOff>
    </xdr:to>
    <xdr:graphicFrame>
      <xdr:nvGraphicFramePr>
        <xdr:cNvPr id="13" name="Chart 28"/>
        <xdr:cNvGraphicFramePr/>
      </xdr:nvGraphicFramePr>
      <xdr:xfrm>
        <a:off x="14039850" y="3771900"/>
        <a:ext cx="6677025" cy="2857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19050</xdr:colOff>
      <xdr:row>41</xdr:row>
      <xdr:rowOff>28575</xdr:rowOff>
    </xdr:from>
    <xdr:to>
      <xdr:col>30</xdr:col>
      <xdr:colOff>28575</xdr:colOff>
      <xdr:row>59</xdr:row>
      <xdr:rowOff>142875</xdr:rowOff>
    </xdr:to>
    <xdr:graphicFrame>
      <xdr:nvGraphicFramePr>
        <xdr:cNvPr id="14" name="Chart 29"/>
        <xdr:cNvGraphicFramePr/>
      </xdr:nvGraphicFramePr>
      <xdr:xfrm>
        <a:off x="13925550" y="6877050"/>
        <a:ext cx="6962775" cy="30289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30</xdr:col>
      <xdr:colOff>0</xdr:colOff>
      <xdr:row>4</xdr:row>
      <xdr:rowOff>9525</xdr:rowOff>
    </xdr:from>
    <xdr:to>
      <xdr:col>30</xdr:col>
      <xdr:colOff>19050</xdr:colOff>
      <xdr:row>20</xdr:row>
      <xdr:rowOff>152400</xdr:rowOff>
    </xdr:to>
    <xdr:graphicFrame>
      <xdr:nvGraphicFramePr>
        <xdr:cNvPr id="15" name="Chart 30"/>
        <xdr:cNvGraphicFramePr/>
      </xdr:nvGraphicFramePr>
      <xdr:xfrm>
        <a:off x="20859750" y="828675"/>
        <a:ext cx="19050" cy="27336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30</xdr:col>
      <xdr:colOff>0</xdr:colOff>
      <xdr:row>22</xdr:row>
      <xdr:rowOff>9525</xdr:rowOff>
    </xdr:from>
    <xdr:to>
      <xdr:col>30</xdr:col>
      <xdr:colOff>85725</xdr:colOff>
      <xdr:row>39</xdr:row>
      <xdr:rowOff>152400</xdr:rowOff>
    </xdr:to>
    <xdr:graphicFrame>
      <xdr:nvGraphicFramePr>
        <xdr:cNvPr id="16" name="Chart 31"/>
        <xdr:cNvGraphicFramePr/>
      </xdr:nvGraphicFramePr>
      <xdr:xfrm>
        <a:off x="20859750" y="3762375"/>
        <a:ext cx="85725" cy="2895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30</xdr:col>
      <xdr:colOff>0</xdr:colOff>
      <xdr:row>41</xdr:row>
      <xdr:rowOff>9525</xdr:rowOff>
    </xdr:from>
    <xdr:to>
      <xdr:col>30</xdr:col>
      <xdr:colOff>0</xdr:colOff>
      <xdr:row>57</xdr:row>
      <xdr:rowOff>133350</xdr:rowOff>
    </xdr:to>
    <xdr:graphicFrame>
      <xdr:nvGraphicFramePr>
        <xdr:cNvPr id="17" name="Chart 32"/>
        <xdr:cNvGraphicFramePr/>
      </xdr:nvGraphicFramePr>
      <xdr:xfrm>
        <a:off x="20859750" y="6858000"/>
        <a:ext cx="0" cy="27146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40</xdr:col>
      <xdr:colOff>76200</xdr:colOff>
      <xdr:row>3</xdr:row>
      <xdr:rowOff>19050</xdr:rowOff>
    </xdr:from>
    <xdr:to>
      <xdr:col>49</xdr:col>
      <xdr:colOff>447675</xdr:colOff>
      <xdr:row>27</xdr:row>
      <xdr:rowOff>142875</xdr:rowOff>
    </xdr:to>
    <xdr:graphicFrame>
      <xdr:nvGraphicFramePr>
        <xdr:cNvPr id="18" name="Chart 34"/>
        <xdr:cNvGraphicFramePr/>
      </xdr:nvGraphicFramePr>
      <xdr:xfrm>
        <a:off x="27889200" y="676275"/>
        <a:ext cx="6629400" cy="40290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40</xdr:col>
      <xdr:colOff>209550</xdr:colOff>
      <xdr:row>29</xdr:row>
      <xdr:rowOff>28575</xdr:rowOff>
    </xdr:from>
    <xdr:to>
      <xdr:col>49</xdr:col>
      <xdr:colOff>495300</xdr:colOff>
      <xdr:row>54</xdr:row>
      <xdr:rowOff>0</xdr:rowOff>
    </xdr:to>
    <xdr:graphicFrame>
      <xdr:nvGraphicFramePr>
        <xdr:cNvPr id="19" name="Chart 35"/>
        <xdr:cNvGraphicFramePr/>
      </xdr:nvGraphicFramePr>
      <xdr:xfrm>
        <a:off x="28022550" y="4914900"/>
        <a:ext cx="6543675" cy="40386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50</xdr:col>
      <xdr:colOff>161925</xdr:colOff>
      <xdr:row>3</xdr:row>
      <xdr:rowOff>9525</xdr:rowOff>
    </xdr:from>
    <xdr:to>
      <xdr:col>59</xdr:col>
      <xdr:colOff>609600</xdr:colOff>
      <xdr:row>15</xdr:row>
      <xdr:rowOff>152400</xdr:rowOff>
    </xdr:to>
    <xdr:graphicFrame>
      <xdr:nvGraphicFramePr>
        <xdr:cNvPr id="20" name="Chart 36"/>
        <xdr:cNvGraphicFramePr/>
      </xdr:nvGraphicFramePr>
      <xdr:xfrm>
        <a:off x="34928175" y="666750"/>
        <a:ext cx="6705600" cy="2085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50</xdr:col>
      <xdr:colOff>142875</xdr:colOff>
      <xdr:row>17</xdr:row>
      <xdr:rowOff>28575</xdr:rowOff>
    </xdr:from>
    <xdr:to>
      <xdr:col>59</xdr:col>
      <xdr:colOff>561975</xdr:colOff>
      <xdr:row>30</xdr:row>
      <xdr:rowOff>0</xdr:rowOff>
    </xdr:to>
    <xdr:graphicFrame>
      <xdr:nvGraphicFramePr>
        <xdr:cNvPr id="21" name="Chart 37"/>
        <xdr:cNvGraphicFramePr/>
      </xdr:nvGraphicFramePr>
      <xdr:xfrm>
        <a:off x="34909125" y="2952750"/>
        <a:ext cx="6677025" cy="2095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50</xdr:col>
      <xdr:colOff>123825</xdr:colOff>
      <xdr:row>31</xdr:row>
      <xdr:rowOff>38100</xdr:rowOff>
    </xdr:from>
    <xdr:to>
      <xdr:col>59</xdr:col>
      <xdr:colOff>638175</xdr:colOff>
      <xdr:row>43</xdr:row>
      <xdr:rowOff>152400</xdr:rowOff>
    </xdr:to>
    <xdr:graphicFrame>
      <xdr:nvGraphicFramePr>
        <xdr:cNvPr id="22" name="Chart 38"/>
        <xdr:cNvGraphicFramePr/>
      </xdr:nvGraphicFramePr>
      <xdr:xfrm>
        <a:off x="34890075" y="5248275"/>
        <a:ext cx="6772275" cy="20764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50</xdr:col>
      <xdr:colOff>76200</xdr:colOff>
      <xdr:row>45</xdr:row>
      <xdr:rowOff>28575</xdr:rowOff>
    </xdr:from>
    <xdr:to>
      <xdr:col>59</xdr:col>
      <xdr:colOff>485775</xdr:colOff>
      <xdr:row>58</xdr:row>
      <xdr:rowOff>9525</xdr:rowOff>
    </xdr:to>
    <xdr:graphicFrame>
      <xdr:nvGraphicFramePr>
        <xdr:cNvPr id="23" name="Chart 39"/>
        <xdr:cNvGraphicFramePr/>
      </xdr:nvGraphicFramePr>
      <xdr:xfrm>
        <a:off x="34842450" y="7524750"/>
        <a:ext cx="6667500" cy="2085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</xdr:col>
      <xdr:colOff>476250</xdr:colOff>
      <xdr:row>68</xdr:row>
      <xdr:rowOff>66675</xdr:rowOff>
    </xdr:from>
    <xdr:to>
      <xdr:col>4</xdr:col>
      <xdr:colOff>304800</xdr:colOff>
      <xdr:row>70</xdr:row>
      <xdr:rowOff>9525</xdr:rowOff>
    </xdr:to>
    <xdr:sp>
      <xdr:nvSpPr>
        <xdr:cNvPr id="24" name="AutoShape 40"/>
        <xdr:cNvSpPr>
          <a:spLocks/>
        </xdr:cNvSpPr>
      </xdr:nvSpPr>
      <xdr:spPr>
        <a:xfrm>
          <a:off x="1866900" y="11325225"/>
          <a:ext cx="1219200" cy="285750"/>
        </a:xfrm>
        <a:prstGeom prst="rect"/>
        <a:noFill/>
      </xdr:spPr>
      <xdr:txBody>
        <a:bodyPr fromWordArt="1" wrap="none">
          <a:prstTxWarp prst="textArchUp">
            <a:avLst>
              <a:gd name="adj" fmla="val -5444879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tiptop</a:t>
          </a:r>
        </a:p>
      </xdr:txBody>
    </xdr:sp>
    <xdr:clientData/>
  </xdr:twoCellAnchor>
  <xdr:twoCellAnchor>
    <xdr:from>
      <xdr:col>15</xdr:col>
      <xdr:colOff>85725</xdr:colOff>
      <xdr:row>129</xdr:row>
      <xdr:rowOff>47625</xdr:rowOff>
    </xdr:from>
    <xdr:to>
      <xdr:col>23</xdr:col>
      <xdr:colOff>28575</xdr:colOff>
      <xdr:row>146</xdr:row>
      <xdr:rowOff>19050</xdr:rowOff>
    </xdr:to>
    <xdr:graphicFrame>
      <xdr:nvGraphicFramePr>
        <xdr:cNvPr id="25" name="Chart 44"/>
        <xdr:cNvGraphicFramePr/>
      </xdr:nvGraphicFramePr>
      <xdr:xfrm>
        <a:off x="10515600" y="21402675"/>
        <a:ext cx="5505450" cy="27241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12</xdr:col>
      <xdr:colOff>257175</xdr:colOff>
      <xdr:row>154</xdr:row>
      <xdr:rowOff>142875</xdr:rowOff>
    </xdr:from>
    <xdr:to>
      <xdr:col>21</xdr:col>
      <xdr:colOff>438150</xdr:colOff>
      <xdr:row>176</xdr:row>
      <xdr:rowOff>114300</xdr:rowOff>
    </xdr:to>
    <xdr:graphicFrame>
      <xdr:nvGraphicFramePr>
        <xdr:cNvPr id="26" name="Chart 45"/>
        <xdr:cNvGraphicFramePr/>
      </xdr:nvGraphicFramePr>
      <xdr:xfrm>
        <a:off x="8601075" y="25546050"/>
        <a:ext cx="6438900" cy="35337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4</xdr:row>
      <xdr:rowOff>9525</xdr:rowOff>
    </xdr:from>
    <xdr:to>
      <xdr:col>30</xdr:col>
      <xdr:colOff>19050</xdr:colOff>
      <xdr:row>20</xdr:row>
      <xdr:rowOff>152400</xdr:rowOff>
    </xdr:to>
    <xdr:graphicFrame>
      <xdr:nvGraphicFramePr>
        <xdr:cNvPr id="1" name="Chart 10"/>
        <xdr:cNvGraphicFramePr/>
      </xdr:nvGraphicFramePr>
      <xdr:xfrm>
        <a:off x="20859750" y="828675"/>
        <a:ext cx="190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0</xdr:colOff>
      <xdr:row>22</xdr:row>
      <xdr:rowOff>9525</xdr:rowOff>
    </xdr:from>
    <xdr:to>
      <xdr:col>30</xdr:col>
      <xdr:colOff>85725</xdr:colOff>
      <xdr:row>39</xdr:row>
      <xdr:rowOff>152400</xdr:rowOff>
    </xdr:to>
    <xdr:graphicFrame>
      <xdr:nvGraphicFramePr>
        <xdr:cNvPr id="2" name="Chart 11"/>
        <xdr:cNvGraphicFramePr/>
      </xdr:nvGraphicFramePr>
      <xdr:xfrm>
        <a:off x="20859750" y="3762375"/>
        <a:ext cx="8572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0</xdr:colOff>
      <xdr:row>41</xdr:row>
      <xdr:rowOff>9525</xdr:rowOff>
    </xdr:from>
    <xdr:to>
      <xdr:col>30</xdr:col>
      <xdr:colOff>0</xdr:colOff>
      <xdr:row>57</xdr:row>
      <xdr:rowOff>133350</xdr:rowOff>
    </xdr:to>
    <xdr:graphicFrame>
      <xdr:nvGraphicFramePr>
        <xdr:cNvPr id="3" name="Chart 12"/>
        <xdr:cNvGraphicFramePr/>
      </xdr:nvGraphicFramePr>
      <xdr:xfrm>
        <a:off x="20859750" y="6858000"/>
        <a:ext cx="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476250</xdr:colOff>
      <xdr:row>68</xdr:row>
      <xdr:rowOff>66675</xdr:rowOff>
    </xdr:from>
    <xdr:to>
      <xdr:col>4</xdr:col>
      <xdr:colOff>304800</xdr:colOff>
      <xdr:row>70</xdr:row>
      <xdr:rowOff>9525</xdr:rowOff>
    </xdr:to>
    <xdr:sp>
      <xdr:nvSpPr>
        <xdr:cNvPr id="4" name="AutoShape 20"/>
        <xdr:cNvSpPr>
          <a:spLocks/>
        </xdr:cNvSpPr>
      </xdr:nvSpPr>
      <xdr:spPr>
        <a:xfrm>
          <a:off x="1866900" y="11325225"/>
          <a:ext cx="1219200" cy="285750"/>
        </a:xfrm>
        <a:prstGeom prst="rect"/>
        <a:noFill/>
      </xdr:spPr>
      <xdr:txBody>
        <a:bodyPr fromWordArt="1" wrap="none">
          <a:prstTxWarp prst="textArchUp">
            <a:avLst>
              <a:gd name="adj" fmla="val -5444879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tiptop</a:t>
          </a:r>
        </a:p>
      </xdr:txBody>
    </xdr:sp>
    <xdr:clientData/>
  </xdr:twoCellAnchor>
  <xdr:twoCellAnchor>
    <xdr:from>
      <xdr:col>0</xdr:col>
      <xdr:colOff>95250</xdr:colOff>
      <xdr:row>3</xdr:row>
      <xdr:rowOff>28575</xdr:rowOff>
    </xdr:from>
    <xdr:to>
      <xdr:col>9</xdr:col>
      <xdr:colOff>619125</xdr:colOff>
      <xdr:row>20</xdr:row>
      <xdr:rowOff>142875</xdr:rowOff>
    </xdr:to>
    <xdr:graphicFrame>
      <xdr:nvGraphicFramePr>
        <xdr:cNvPr id="5" name="Chart 21"/>
        <xdr:cNvGraphicFramePr/>
      </xdr:nvGraphicFramePr>
      <xdr:xfrm>
        <a:off x="95250" y="685800"/>
        <a:ext cx="6781800" cy="2867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76200</xdr:colOff>
      <xdr:row>22</xdr:row>
      <xdr:rowOff>9525</xdr:rowOff>
    </xdr:from>
    <xdr:to>
      <xdr:col>9</xdr:col>
      <xdr:colOff>523875</xdr:colOff>
      <xdr:row>39</xdr:row>
      <xdr:rowOff>142875</xdr:rowOff>
    </xdr:to>
    <xdr:graphicFrame>
      <xdr:nvGraphicFramePr>
        <xdr:cNvPr id="6" name="Chart 22"/>
        <xdr:cNvGraphicFramePr/>
      </xdr:nvGraphicFramePr>
      <xdr:xfrm>
        <a:off x="76200" y="3762375"/>
        <a:ext cx="6705600" cy="2886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161925</xdr:colOff>
      <xdr:row>41</xdr:row>
      <xdr:rowOff>9525</xdr:rowOff>
    </xdr:from>
    <xdr:to>
      <xdr:col>9</xdr:col>
      <xdr:colOff>600075</xdr:colOff>
      <xdr:row>59</xdr:row>
      <xdr:rowOff>19050</xdr:rowOff>
    </xdr:to>
    <xdr:graphicFrame>
      <xdr:nvGraphicFramePr>
        <xdr:cNvPr id="7" name="Chart 23"/>
        <xdr:cNvGraphicFramePr/>
      </xdr:nvGraphicFramePr>
      <xdr:xfrm>
        <a:off x="161925" y="6858000"/>
        <a:ext cx="6696075" cy="2924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85725</xdr:colOff>
      <xdr:row>3</xdr:row>
      <xdr:rowOff>28575</xdr:rowOff>
    </xdr:from>
    <xdr:to>
      <xdr:col>19</xdr:col>
      <xdr:colOff>561975</xdr:colOff>
      <xdr:row>20</xdr:row>
      <xdr:rowOff>142875</xdr:rowOff>
    </xdr:to>
    <xdr:graphicFrame>
      <xdr:nvGraphicFramePr>
        <xdr:cNvPr id="8" name="Chart 24"/>
        <xdr:cNvGraphicFramePr/>
      </xdr:nvGraphicFramePr>
      <xdr:xfrm>
        <a:off x="7038975" y="685800"/>
        <a:ext cx="6734175" cy="2867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76200</xdr:colOff>
      <xdr:row>22</xdr:row>
      <xdr:rowOff>28575</xdr:rowOff>
    </xdr:from>
    <xdr:to>
      <xdr:col>19</xdr:col>
      <xdr:colOff>561975</xdr:colOff>
      <xdr:row>39</xdr:row>
      <xdr:rowOff>152400</xdr:rowOff>
    </xdr:to>
    <xdr:graphicFrame>
      <xdr:nvGraphicFramePr>
        <xdr:cNvPr id="9" name="Chart 25"/>
        <xdr:cNvGraphicFramePr/>
      </xdr:nvGraphicFramePr>
      <xdr:xfrm>
        <a:off x="7029450" y="3781425"/>
        <a:ext cx="6743700" cy="2876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57150</xdr:colOff>
      <xdr:row>41</xdr:row>
      <xdr:rowOff>28575</xdr:rowOff>
    </xdr:from>
    <xdr:to>
      <xdr:col>19</xdr:col>
      <xdr:colOff>590550</xdr:colOff>
      <xdr:row>59</xdr:row>
      <xdr:rowOff>152400</xdr:rowOff>
    </xdr:to>
    <xdr:graphicFrame>
      <xdr:nvGraphicFramePr>
        <xdr:cNvPr id="10" name="Chart 26"/>
        <xdr:cNvGraphicFramePr/>
      </xdr:nvGraphicFramePr>
      <xdr:xfrm>
        <a:off x="7010400" y="6877050"/>
        <a:ext cx="6791325" cy="3038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20</xdr:col>
      <xdr:colOff>47625</xdr:colOff>
      <xdr:row>3</xdr:row>
      <xdr:rowOff>28575</xdr:rowOff>
    </xdr:from>
    <xdr:to>
      <xdr:col>29</xdr:col>
      <xdr:colOff>523875</xdr:colOff>
      <xdr:row>20</xdr:row>
      <xdr:rowOff>114300</xdr:rowOff>
    </xdr:to>
    <xdr:graphicFrame>
      <xdr:nvGraphicFramePr>
        <xdr:cNvPr id="11" name="Chart 27"/>
        <xdr:cNvGraphicFramePr/>
      </xdr:nvGraphicFramePr>
      <xdr:xfrm>
        <a:off x="13954125" y="685800"/>
        <a:ext cx="6734175" cy="2838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76200</xdr:colOff>
      <xdr:row>21</xdr:row>
      <xdr:rowOff>161925</xdr:rowOff>
    </xdr:from>
    <xdr:to>
      <xdr:col>29</xdr:col>
      <xdr:colOff>495300</xdr:colOff>
      <xdr:row>39</xdr:row>
      <xdr:rowOff>85725</xdr:rowOff>
    </xdr:to>
    <xdr:graphicFrame>
      <xdr:nvGraphicFramePr>
        <xdr:cNvPr id="12" name="Chart 28"/>
        <xdr:cNvGraphicFramePr/>
      </xdr:nvGraphicFramePr>
      <xdr:xfrm>
        <a:off x="13982700" y="3733800"/>
        <a:ext cx="6677025" cy="2857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28575</xdr:colOff>
      <xdr:row>41</xdr:row>
      <xdr:rowOff>9525</xdr:rowOff>
    </xdr:from>
    <xdr:to>
      <xdr:col>30</xdr:col>
      <xdr:colOff>47625</xdr:colOff>
      <xdr:row>59</xdr:row>
      <xdr:rowOff>123825</xdr:rowOff>
    </xdr:to>
    <xdr:graphicFrame>
      <xdr:nvGraphicFramePr>
        <xdr:cNvPr id="13" name="Chart 29"/>
        <xdr:cNvGraphicFramePr/>
      </xdr:nvGraphicFramePr>
      <xdr:xfrm>
        <a:off x="13935075" y="6858000"/>
        <a:ext cx="6972300" cy="30289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30</xdr:col>
      <xdr:colOff>0</xdr:colOff>
      <xdr:row>4</xdr:row>
      <xdr:rowOff>9525</xdr:rowOff>
    </xdr:from>
    <xdr:to>
      <xdr:col>30</xdr:col>
      <xdr:colOff>19050</xdr:colOff>
      <xdr:row>20</xdr:row>
      <xdr:rowOff>152400</xdr:rowOff>
    </xdr:to>
    <xdr:graphicFrame>
      <xdr:nvGraphicFramePr>
        <xdr:cNvPr id="14" name="Chart 30"/>
        <xdr:cNvGraphicFramePr/>
      </xdr:nvGraphicFramePr>
      <xdr:xfrm>
        <a:off x="20859750" y="828675"/>
        <a:ext cx="19050" cy="27336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30</xdr:col>
      <xdr:colOff>0</xdr:colOff>
      <xdr:row>22</xdr:row>
      <xdr:rowOff>9525</xdr:rowOff>
    </xdr:from>
    <xdr:to>
      <xdr:col>30</xdr:col>
      <xdr:colOff>85725</xdr:colOff>
      <xdr:row>39</xdr:row>
      <xdr:rowOff>152400</xdr:rowOff>
    </xdr:to>
    <xdr:graphicFrame>
      <xdr:nvGraphicFramePr>
        <xdr:cNvPr id="15" name="Chart 31"/>
        <xdr:cNvGraphicFramePr/>
      </xdr:nvGraphicFramePr>
      <xdr:xfrm>
        <a:off x="20859750" y="3762375"/>
        <a:ext cx="85725" cy="28956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30</xdr:col>
      <xdr:colOff>0</xdr:colOff>
      <xdr:row>41</xdr:row>
      <xdr:rowOff>9525</xdr:rowOff>
    </xdr:from>
    <xdr:to>
      <xdr:col>30</xdr:col>
      <xdr:colOff>0</xdr:colOff>
      <xdr:row>57</xdr:row>
      <xdr:rowOff>133350</xdr:rowOff>
    </xdr:to>
    <xdr:graphicFrame>
      <xdr:nvGraphicFramePr>
        <xdr:cNvPr id="16" name="Chart 32"/>
        <xdr:cNvGraphicFramePr/>
      </xdr:nvGraphicFramePr>
      <xdr:xfrm>
        <a:off x="20859750" y="6858000"/>
        <a:ext cx="0" cy="27146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30</xdr:col>
      <xdr:colOff>57150</xdr:colOff>
      <xdr:row>4</xdr:row>
      <xdr:rowOff>9525</xdr:rowOff>
    </xdr:from>
    <xdr:to>
      <xdr:col>39</xdr:col>
      <xdr:colOff>561975</xdr:colOff>
      <xdr:row>57</xdr:row>
      <xdr:rowOff>104775</xdr:rowOff>
    </xdr:to>
    <xdr:graphicFrame>
      <xdr:nvGraphicFramePr>
        <xdr:cNvPr id="17" name="Chart 33"/>
        <xdr:cNvGraphicFramePr/>
      </xdr:nvGraphicFramePr>
      <xdr:xfrm>
        <a:off x="20916900" y="828675"/>
        <a:ext cx="6762750" cy="87153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40</xdr:col>
      <xdr:colOff>76200</xdr:colOff>
      <xdr:row>3</xdr:row>
      <xdr:rowOff>38100</xdr:rowOff>
    </xdr:from>
    <xdr:to>
      <xdr:col>49</xdr:col>
      <xdr:colOff>447675</xdr:colOff>
      <xdr:row>28</xdr:row>
      <xdr:rowOff>0</xdr:rowOff>
    </xdr:to>
    <xdr:graphicFrame>
      <xdr:nvGraphicFramePr>
        <xdr:cNvPr id="18" name="Chart 34"/>
        <xdr:cNvGraphicFramePr/>
      </xdr:nvGraphicFramePr>
      <xdr:xfrm>
        <a:off x="27889200" y="695325"/>
        <a:ext cx="6629400" cy="40290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40</xdr:col>
      <xdr:colOff>161925</xdr:colOff>
      <xdr:row>30</xdr:row>
      <xdr:rowOff>114300</xdr:rowOff>
    </xdr:from>
    <xdr:to>
      <xdr:col>49</xdr:col>
      <xdr:colOff>457200</xdr:colOff>
      <xdr:row>55</xdr:row>
      <xdr:rowOff>85725</xdr:rowOff>
    </xdr:to>
    <xdr:graphicFrame>
      <xdr:nvGraphicFramePr>
        <xdr:cNvPr id="19" name="Chart 35"/>
        <xdr:cNvGraphicFramePr/>
      </xdr:nvGraphicFramePr>
      <xdr:xfrm>
        <a:off x="27974925" y="5162550"/>
        <a:ext cx="6553200" cy="40386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50</xdr:col>
      <xdr:colOff>123825</xdr:colOff>
      <xdr:row>3</xdr:row>
      <xdr:rowOff>28575</xdr:rowOff>
    </xdr:from>
    <xdr:to>
      <xdr:col>59</xdr:col>
      <xdr:colOff>561975</xdr:colOff>
      <xdr:row>16</xdr:row>
      <xdr:rowOff>9525</xdr:rowOff>
    </xdr:to>
    <xdr:graphicFrame>
      <xdr:nvGraphicFramePr>
        <xdr:cNvPr id="20" name="Chart 36"/>
        <xdr:cNvGraphicFramePr/>
      </xdr:nvGraphicFramePr>
      <xdr:xfrm>
        <a:off x="34890075" y="685800"/>
        <a:ext cx="6696075" cy="2085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50</xdr:col>
      <xdr:colOff>28575</xdr:colOff>
      <xdr:row>17</xdr:row>
      <xdr:rowOff>28575</xdr:rowOff>
    </xdr:from>
    <xdr:to>
      <xdr:col>59</xdr:col>
      <xdr:colOff>457200</xdr:colOff>
      <xdr:row>30</xdr:row>
      <xdr:rowOff>0</xdr:rowOff>
    </xdr:to>
    <xdr:graphicFrame>
      <xdr:nvGraphicFramePr>
        <xdr:cNvPr id="21" name="Chart 37"/>
        <xdr:cNvGraphicFramePr/>
      </xdr:nvGraphicFramePr>
      <xdr:xfrm>
        <a:off x="34794825" y="2952750"/>
        <a:ext cx="6686550" cy="2095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50</xdr:col>
      <xdr:colOff>28575</xdr:colOff>
      <xdr:row>31</xdr:row>
      <xdr:rowOff>38100</xdr:rowOff>
    </xdr:from>
    <xdr:to>
      <xdr:col>59</xdr:col>
      <xdr:colOff>552450</xdr:colOff>
      <xdr:row>43</xdr:row>
      <xdr:rowOff>152400</xdr:rowOff>
    </xdr:to>
    <xdr:graphicFrame>
      <xdr:nvGraphicFramePr>
        <xdr:cNvPr id="22" name="Chart 38"/>
        <xdr:cNvGraphicFramePr/>
      </xdr:nvGraphicFramePr>
      <xdr:xfrm>
        <a:off x="34794825" y="5248275"/>
        <a:ext cx="6781800" cy="20764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50</xdr:col>
      <xdr:colOff>76200</xdr:colOff>
      <xdr:row>45</xdr:row>
      <xdr:rowOff>28575</xdr:rowOff>
    </xdr:from>
    <xdr:to>
      <xdr:col>59</xdr:col>
      <xdr:colOff>485775</xdr:colOff>
      <xdr:row>58</xdr:row>
      <xdr:rowOff>9525</xdr:rowOff>
    </xdr:to>
    <xdr:graphicFrame>
      <xdr:nvGraphicFramePr>
        <xdr:cNvPr id="23" name="Chart 39"/>
        <xdr:cNvGraphicFramePr/>
      </xdr:nvGraphicFramePr>
      <xdr:xfrm>
        <a:off x="34842450" y="7524750"/>
        <a:ext cx="6667500" cy="2085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</xdr:col>
      <xdr:colOff>476250</xdr:colOff>
      <xdr:row>68</xdr:row>
      <xdr:rowOff>66675</xdr:rowOff>
    </xdr:from>
    <xdr:to>
      <xdr:col>4</xdr:col>
      <xdr:colOff>304800</xdr:colOff>
      <xdr:row>70</xdr:row>
      <xdr:rowOff>9525</xdr:rowOff>
    </xdr:to>
    <xdr:sp>
      <xdr:nvSpPr>
        <xdr:cNvPr id="24" name="AutoShape 40"/>
        <xdr:cNvSpPr>
          <a:spLocks/>
        </xdr:cNvSpPr>
      </xdr:nvSpPr>
      <xdr:spPr>
        <a:xfrm>
          <a:off x="1866900" y="11325225"/>
          <a:ext cx="1219200" cy="285750"/>
        </a:xfrm>
        <a:prstGeom prst="rect"/>
        <a:noFill/>
      </xdr:spPr>
      <xdr:txBody>
        <a:bodyPr fromWordArt="1" wrap="none">
          <a:prstTxWarp prst="textArchUp">
            <a:avLst>
              <a:gd name="adj" fmla="val -5444879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tiptop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55"/>
  <sheetViews>
    <sheetView zoomScale="75" zoomScaleNormal="75" zoomScaleSheetLayoutView="75" workbookViewId="0" topLeftCell="A1">
      <selection activeCell="B6" sqref="B6"/>
    </sheetView>
  </sheetViews>
  <sheetFormatPr defaultColWidth="9.00390625" defaultRowHeight="12.75"/>
  <cols>
    <col min="1" max="1" width="96.00390625" style="0" customWidth="1"/>
    <col min="22" max="22" width="1.37890625" style="0" customWidth="1"/>
  </cols>
  <sheetData>
    <row r="5" spans="1:10" ht="18.75">
      <c r="A5" s="11" t="s">
        <v>338</v>
      </c>
      <c r="B5" s="37"/>
      <c r="C5" s="37"/>
      <c r="D5" s="37"/>
      <c r="E5" s="37"/>
      <c r="F5" s="37"/>
      <c r="G5" s="37"/>
      <c r="H5" s="37"/>
      <c r="I5" s="37"/>
      <c r="J5" s="37"/>
    </row>
    <row r="6" spans="1:10" ht="18.75">
      <c r="A6" s="11" t="s">
        <v>335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37"/>
      <c r="B7" s="37"/>
      <c r="C7" s="37"/>
      <c r="D7" s="37"/>
      <c r="E7" s="37"/>
      <c r="F7" s="37"/>
      <c r="G7" s="37"/>
      <c r="H7" s="37"/>
      <c r="I7" s="37"/>
      <c r="J7" s="37"/>
    </row>
    <row r="8" spans="1:10" ht="12.75">
      <c r="A8" s="37"/>
      <c r="B8" s="37"/>
      <c r="C8" s="37"/>
      <c r="D8" s="37"/>
      <c r="E8" s="37"/>
      <c r="F8" s="37"/>
      <c r="G8" s="37"/>
      <c r="H8" s="37"/>
      <c r="I8" s="37"/>
      <c r="J8" s="37"/>
    </row>
    <row r="9" spans="1:10" ht="12.75">
      <c r="A9" s="37"/>
      <c r="B9" s="37"/>
      <c r="C9" s="37"/>
      <c r="D9" s="37"/>
      <c r="E9" s="37"/>
      <c r="F9" s="37"/>
      <c r="G9" s="37"/>
      <c r="H9" s="37"/>
      <c r="I9" s="37"/>
      <c r="J9" s="37"/>
    </row>
    <row r="10" spans="1:10" ht="12.75">
      <c r="A10" s="37"/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12.75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2.75">
      <c r="A12" s="37"/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2.75">
      <c r="A13" s="37"/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12.75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75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2.75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2.75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27.75">
      <c r="A19" s="38" t="s">
        <v>44</v>
      </c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2.75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2.75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8.75" customHeight="1">
      <c r="A22" s="11" t="s">
        <v>162</v>
      </c>
      <c r="B22" s="262"/>
      <c r="C22" s="262"/>
      <c r="D22" s="37"/>
      <c r="E22" s="37"/>
      <c r="F22" s="37"/>
      <c r="G22" s="37"/>
      <c r="H22" s="37"/>
      <c r="I22" s="37"/>
      <c r="J22" s="37"/>
    </row>
    <row r="23" spans="1:10" ht="18.75" customHeight="1">
      <c r="A23" s="332" t="s">
        <v>295</v>
      </c>
      <c r="B23" s="262"/>
      <c r="C23" s="333"/>
      <c r="D23" s="37"/>
      <c r="E23" s="37"/>
      <c r="F23" s="37"/>
      <c r="G23" s="37"/>
      <c r="H23" s="37"/>
      <c r="I23" s="37"/>
      <c r="J23" s="37"/>
    </row>
    <row r="24" spans="1:10" ht="18.75" customHeight="1">
      <c r="A24" s="332" t="s">
        <v>296</v>
      </c>
      <c r="B24" s="262"/>
      <c r="C24" s="262"/>
      <c r="D24" s="37"/>
      <c r="E24" s="37"/>
      <c r="F24" s="37"/>
      <c r="G24" s="37"/>
      <c r="H24" s="37"/>
      <c r="I24" s="37"/>
      <c r="J24" s="37"/>
    </row>
    <row r="25" spans="1:10" ht="21" customHeight="1">
      <c r="A25" s="333"/>
      <c r="B25" s="262"/>
      <c r="C25" s="262"/>
      <c r="D25" s="37"/>
      <c r="E25" s="37"/>
      <c r="F25" s="37"/>
      <c r="G25" s="37"/>
      <c r="H25" s="37"/>
      <c r="I25" s="37"/>
      <c r="J25" s="37"/>
    </row>
    <row r="26" spans="1:10" ht="18.75">
      <c r="A26" s="334" t="s">
        <v>336</v>
      </c>
      <c r="B26" s="262"/>
      <c r="C26" s="262"/>
      <c r="D26" s="37"/>
      <c r="E26" s="37"/>
      <c r="F26" s="37"/>
      <c r="G26" s="37"/>
      <c r="H26" s="37"/>
      <c r="I26" s="37"/>
      <c r="J26" s="37"/>
    </row>
    <row r="27" spans="1:10" ht="18.75">
      <c r="A27" s="262"/>
      <c r="B27" s="262"/>
      <c r="C27" s="11"/>
      <c r="D27" s="12"/>
      <c r="E27" s="12"/>
      <c r="F27" s="12"/>
      <c r="G27" s="12"/>
      <c r="H27" s="12"/>
      <c r="I27" s="12"/>
      <c r="J27" s="12"/>
    </row>
    <row r="28" spans="1:10" ht="12.75">
      <c r="A28" s="262"/>
      <c r="B28" s="262"/>
      <c r="C28" s="262"/>
      <c r="D28" s="37"/>
      <c r="E28" s="37"/>
      <c r="F28" s="37"/>
      <c r="G28" s="37"/>
      <c r="H28" s="37"/>
      <c r="I28" s="37"/>
      <c r="J28" s="37"/>
    </row>
    <row r="29" spans="1:10" ht="18.75">
      <c r="A29" s="11" t="s">
        <v>294</v>
      </c>
      <c r="B29" s="262"/>
      <c r="C29" s="262"/>
      <c r="D29" s="37"/>
      <c r="E29" s="37"/>
      <c r="F29" s="37"/>
      <c r="G29" s="37"/>
      <c r="H29" s="37"/>
      <c r="I29" s="37"/>
      <c r="J29" s="37"/>
    </row>
    <row r="30" spans="1:10" ht="12.75">
      <c r="A30" s="37"/>
      <c r="B30" s="37"/>
      <c r="C30" s="37"/>
      <c r="D30" s="37"/>
      <c r="E30" s="37"/>
      <c r="F30" s="37"/>
      <c r="G30" s="37"/>
      <c r="H30" s="37"/>
      <c r="I30" s="37"/>
      <c r="J30" s="37"/>
    </row>
    <row r="31" spans="1:10" ht="12.75">
      <c r="A31" s="37"/>
      <c r="B31" s="37"/>
      <c r="C31" s="37"/>
      <c r="D31" s="37"/>
      <c r="E31" s="37"/>
      <c r="F31" s="37"/>
      <c r="G31" s="37"/>
      <c r="H31" s="37"/>
      <c r="I31" s="37"/>
      <c r="J31" s="37"/>
    </row>
    <row r="32" spans="1:10" ht="12.75">
      <c r="A32" s="37"/>
      <c r="B32" s="37"/>
      <c r="C32" s="37"/>
      <c r="D32" s="37"/>
      <c r="E32" s="37"/>
      <c r="F32" s="37"/>
      <c r="G32" s="37"/>
      <c r="H32" s="37"/>
      <c r="I32" s="37"/>
      <c r="J32" s="37"/>
    </row>
    <row r="33" spans="1:10" ht="12.75">
      <c r="A33" s="37"/>
      <c r="B33" s="37"/>
      <c r="C33" s="37"/>
      <c r="D33" s="37"/>
      <c r="E33" s="37"/>
      <c r="F33" s="37"/>
      <c r="G33" s="37"/>
      <c r="H33" s="37"/>
      <c r="I33" s="37"/>
      <c r="J33" s="37"/>
    </row>
    <row r="34" spans="1:10" ht="12.75">
      <c r="A34" s="37"/>
      <c r="B34" s="37"/>
      <c r="C34" s="37"/>
      <c r="D34" s="37"/>
      <c r="E34" s="37"/>
      <c r="F34" s="37"/>
      <c r="G34" s="37"/>
      <c r="H34" s="37"/>
      <c r="I34" s="37"/>
      <c r="J34" s="37"/>
    </row>
    <row r="35" spans="1:10" ht="12.75">
      <c r="A35" s="37"/>
      <c r="B35" s="37"/>
      <c r="C35" s="37"/>
      <c r="D35" s="37"/>
      <c r="E35" s="37"/>
      <c r="F35" s="37"/>
      <c r="G35" s="37"/>
      <c r="H35" s="37"/>
      <c r="I35" s="37"/>
      <c r="J35" s="37"/>
    </row>
    <row r="36" spans="1:10" ht="12.75">
      <c r="A36" s="37"/>
      <c r="B36" s="37"/>
      <c r="C36" s="37"/>
      <c r="D36" s="37"/>
      <c r="E36" s="37"/>
      <c r="F36" s="37"/>
      <c r="G36" s="37"/>
      <c r="H36" s="37"/>
      <c r="I36" s="37"/>
      <c r="J36" s="37"/>
    </row>
    <row r="37" spans="1:10" ht="12.75">
      <c r="A37" s="37"/>
      <c r="B37" s="37"/>
      <c r="C37" s="37"/>
      <c r="D37" s="37"/>
      <c r="E37" s="37"/>
      <c r="F37" s="37"/>
      <c r="G37" s="37"/>
      <c r="H37" s="37"/>
      <c r="I37" s="37"/>
      <c r="J37" s="37"/>
    </row>
    <row r="38" spans="1:10" ht="12.75">
      <c r="A38" s="37"/>
      <c r="B38" s="37"/>
      <c r="C38" s="37"/>
      <c r="D38" s="37"/>
      <c r="E38" s="37"/>
      <c r="F38" s="37"/>
      <c r="G38" s="37"/>
      <c r="H38" s="37"/>
      <c r="I38" s="37"/>
      <c r="J38" s="37"/>
    </row>
    <row r="39" spans="1:10" ht="12.75">
      <c r="A39" s="37"/>
      <c r="B39" s="37"/>
      <c r="C39" s="37"/>
      <c r="D39" s="37"/>
      <c r="E39" s="37"/>
      <c r="F39" s="37"/>
      <c r="G39" s="37"/>
      <c r="H39" s="37"/>
      <c r="I39" s="37"/>
      <c r="J39" s="37"/>
    </row>
    <row r="40" spans="1:10" ht="12.75">
      <c r="A40" s="37"/>
      <c r="B40" s="37"/>
      <c r="C40" s="37"/>
      <c r="D40" s="37"/>
      <c r="E40" s="37"/>
      <c r="F40" s="37"/>
      <c r="G40" s="37"/>
      <c r="H40" s="37"/>
      <c r="I40" s="37"/>
      <c r="J40" s="37"/>
    </row>
    <row r="41" spans="1:10" ht="12.75">
      <c r="A41" s="37"/>
      <c r="B41" s="37"/>
      <c r="C41" s="37"/>
      <c r="D41" s="37"/>
      <c r="E41" s="37"/>
      <c r="F41" s="37"/>
      <c r="G41" s="37"/>
      <c r="H41" s="37"/>
      <c r="I41" s="37"/>
      <c r="J41" s="37"/>
    </row>
    <row r="42" spans="1:10" ht="12.75">
      <c r="A42" s="37"/>
      <c r="B42" s="37"/>
      <c r="C42" s="37"/>
      <c r="D42" s="37"/>
      <c r="E42" s="37"/>
      <c r="F42" s="37"/>
      <c r="G42" s="37"/>
      <c r="H42" s="37"/>
      <c r="I42" s="37"/>
      <c r="J42" s="37"/>
    </row>
    <row r="43" spans="1:10" ht="12.75">
      <c r="A43" s="37"/>
      <c r="B43" s="37"/>
      <c r="C43" s="37"/>
      <c r="D43" s="37"/>
      <c r="E43" s="37"/>
      <c r="F43" s="37"/>
      <c r="G43" s="37"/>
      <c r="H43" s="37"/>
      <c r="I43" s="37"/>
      <c r="J43" s="37"/>
    </row>
    <row r="44" spans="1:10" ht="12.75">
      <c r="A44" s="37"/>
      <c r="B44" s="37"/>
      <c r="C44" s="37"/>
      <c r="D44" s="37"/>
      <c r="E44" s="37"/>
      <c r="F44" s="37"/>
      <c r="G44" s="37"/>
      <c r="H44" s="37"/>
      <c r="I44" s="37"/>
      <c r="J44" s="37"/>
    </row>
    <row r="45" spans="1:10" ht="12.75">
      <c r="A45" s="37"/>
      <c r="B45" s="37"/>
      <c r="C45" s="37"/>
      <c r="D45" s="37"/>
      <c r="E45" s="37"/>
      <c r="F45" s="37"/>
      <c r="G45" s="37"/>
      <c r="H45" s="37"/>
      <c r="I45" s="37"/>
      <c r="J45" s="37"/>
    </row>
    <row r="46" spans="1:10" ht="12.75">
      <c r="A46" s="37"/>
      <c r="B46" s="37"/>
      <c r="C46" s="37"/>
      <c r="D46" s="37"/>
      <c r="E46" s="37"/>
      <c r="F46" s="37"/>
      <c r="G46" s="37"/>
      <c r="H46" s="37"/>
      <c r="I46" s="37"/>
      <c r="J46" s="37"/>
    </row>
    <row r="47" spans="1:10" ht="12.75">
      <c r="A47" s="37"/>
      <c r="B47" s="37"/>
      <c r="C47" s="37"/>
      <c r="D47" s="37"/>
      <c r="E47" s="37"/>
      <c r="F47" s="37"/>
      <c r="G47" s="37"/>
      <c r="H47" s="37"/>
      <c r="I47" s="37"/>
      <c r="J47" s="37"/>
    </row>
    <row r="48" spans="1:10" ht="12.75">
      <c r="A48" s="37"/>
      <c r="B48" s="37"/>
      <c r="C48" s="37"/>
      <c r="D48" s="37"/>
      <c r="E48" s="37"/>
      <c r="F48" s="37"/>
      <c r="G48" s="37"/>
      <c r="H48" s="37"/>
      <c r="I48" s="37"/>
      <c r="J48" s="37"/>
    </row>
    <row r="49" spans="2:10" ht="12.75">
      <c r="B49" s="37"/>
      <c r="C49" s="37"/>
      <c r="D49" s="37"/>
      <c r="E49" s="37"/>
      <c r="F49" s="37"/>
      <c r="G49" s="37"/>
      <c r="H49" s="37"/>
      <c r="I49" s="37"/>
      <c r="J49" s="37"/>
    </row>
    <row r="50" spans="2:10" ht="12.75">
      <c r="B50" s="37"/>
      <c r="C50" s="37"/>
      <c r="D50" s="37"/>
      <c r="E50" s="37"/>
      <c r="F50" s="37"/>
      <c r="G50" s="37"/>
      <c r="H50" s="37"/>
      <c r="I50" s="37"/>
      <c r="J50" s="37"/>
    </row>
    <row r="55" ht="18.75">
      <c r="A55" s="11" t="s">
        <v>337</v>
      </c>
    </row>
  </sheetData>
  <printOptions horizontalCentered="1" verticalCentered="1"/>
  <pageMargins left="0.984251968503937" right="0" top="0" bottom="0" header="0" footer="0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64"/>
  <sheetViews>
    <sheetView showGridLines="0" zoomScale="75" zoomScaleNormal="75" zoomScaleSheetLayoutView="75" workbookViewId="0" topLeftCell="A1">
      <selection activeCell="L39" sqref="A1:L39"/>
    </sheetView>
  </sheetViews>
  <sheetFormatPr defaultColWidth="9.00390625" defaultRowHeight="12.75"/>
  <cols>
    <col min="1" max="3" width="9.125" style="141" customWidth="1"/>
    <col min="4" max="4" width="17.125" style="141" customWidth="1"/>
    <col min="5" max="5" width="6.375" style="141" customWidth="1"/>
    <col min="6" max="6" width="12.875" style="141" customWidth="1"/>
    <col min="7" max="7" width="8.00390625" style="141" customWidth="1"/>
    <col min="8" max="18" width="8.00390625" style="29" customWidth="1"/>
    <col min="19" max="19" width="8.00390625" style="141" customWidth="1"/>
    <col min="20" max="20" width="6.625" style="141" customWidth="1"/>
    <col min="21" max="21" width="7.375" style="141" customWidth="1"/>
    <col min="22" max="22" width="8.75390625" style="141" customWidth="1"/>
    <col min="23" max="25" width="7.375" style="141" customWidth="1"/>
    <col min="26" max="26" width="9.125" style="141" customWidth="1"/>
    <col min="27" max="27" width="9.25390625" style="141" bestFit="1" customWidth="1"/>
    <col min="28" max="28" width="9.375" style="141" bestFit="1" customWidth="1"/>
    <col min="29" max="16384" width="9.125" style="141" customWidth="1"/>
  </cols>
  <sheetData>
    <row r="1" spans="1:27" ht="18.75" customHeight="1">
      <c r="A1" s="142"/>
      <c r="B1" s="181"/>
      <c r="C1" s="181"/>
      <c r="D1" s="255" t="s">
        <v>16</v>
      </c>
      <c r="E1" s="142"/>
      <c r="F1" s="142"/>
      <c r="G1" s="142"/>
      <c r="H1" s="21"/>
      <c r="I1" s="21"/>
      <c r="J1" s="21"/>
      <c r="K1" s="21"/>
      <c r="L1" s="21"/>
      <c r="M1" s="21"/>
      <c r="N1" s="21"/>
      <c r="O1" s="21"/>
      <c r="Q1" s="21"/>
      <c r="R1" s="21"/>
      <c r="S1" s="181"/>
      <c r="T1" s="181"/>
      <c r="U1" s="181"/>
      <c r="V1" s="180"/>
      <c r="W1" s="180"/>
      <c r="X1" s="180"/>
      <c r="Y1" s="180"/>
      <c r="Z1" s="180"/>
      <c r="AA1" s="180"/>
    </row>
    <row r="2" spans="1:24" ht="18.75">
      <c r="A2" s="8"/>
      <c r="B2" s="8"/>
      <c r="C2" s="8"/>
      <c r="D2" s="8"/>
      <c r="E2" s="8"/>
      <c r="F2" s="8"/>
      <c r="G2" s="8"/>
      <c r="H2" s="28"/>
      <c r="I2" s="28"/>
      <c r="J2" s="28"/>
      <c r="K2" s="28"/>
      <c r="N2" s="28"/>
      <c r="O2" s="28"/>
      <c r="P2" s="28"/>
      <c r="Q2" s="28"/>
      <c r="R2" s="28"/>
      <c r="S2" s="8"/>
      <c r="T2" s="8"/>
      <c r="U2" s="8"/>
      <c r="V2" s="1"/>
      <c r="W2" s="8"/>
      <c r="X2" s="1"/>
    </row>
    <row r="3" spans="1:28" ht="18.75">
      <c r="A3" s="166"/>
      <c r="B3" s="167"/>
      <c r="C3" s="167"/>
      <c r="D3" s="167"/>
      <c r="E3" s="168" t="s">
        <v>19</v>
      </c>
      <c r="F3" s="168" t="s">
        <v>24</v>
      </c>
      <c r="G3" s="300"/>
      <c r="H3" s="148"/>
      <c r="I3" s="292"/>
      <c r="J3" s="291" t="s">
        <v>141</v>
      </c>
      <c r="K3" s="292"/>
      <c r="L3" s="373"/>
      <c r="M3" s="292"/>
      <c r="N3" s="292"/>
      <c r="O3" s="292"/>
      <c r="P3" s="292"/>
      <c r="Q3" s="293"/>
      <c r="R3" s="230"/>
      <c r="S3" s="230"/>
      <c r="T3" s="230"/>
      <c r="U3" s="270"/>
      <c r="V3" s="181"/>
      <c r="W3" s="3"/>
      <c r="X3" s="181"/>
      <c r="Y3" s="181"/>
      <c r="Z3" s="181"/>
      <c r="AA3" s="181"/>
      <c r="AB3" s="142"/>
    </row>
    <row r="4" spans="1:21" ht="18.75">
      <c r="A4" s="17"/>
      <c r="B4" s="19" t="s">
        <v>23</v>
      </c>
      <c r="C4" s="19"/>
      <c r="D4" s="19"/>
      <c r="E4" s="169" t="s">
        <v>20</v>
      </c>
      <c r="F4" s="169" t="s">
        <v>25</v>
      </c>
      <c r="G4" s="194"/>
      <c r="H4" s="230" t="s">
        <v>117</v>
      </c>
      <c r="I4" s="270"/>
      <c r="J4" s="194"/>
      <c r="K4" s="230" t="s">
        <v>231</v>
      </c>
      <c r="L4" s="270"/>
      <c r="M4" s="301"/>
      <c r="N4" s="148"/>
      <c r="O4" s="230" t="s">
        <v>225</v>
      </c>
      <c r="P4" s="230"/>
      <c r="Q4" s="270"/>
      <c r="R4" s="13"/>
      <c r="S4" s="13"/>
      <c r="T4" s="13"/>
      <c r="U4" s="274"/>
    </row>
    <row r="5" spans="1:21" ht="18.75">
      <c r="A5" s="17"/>
      <c r="B5" s="19"/>
      <c r="C5" s="19"/>
      <c r="D5" s="19"/>
      <c r="E5" s="169" t="s">
        <v>21</v>
      </c>
      <c r="F5" s="169" t="s">
        <v>26</v>
      </c>
      <c r="G5" s="195"/>
      <c r="H5" s="288" t="s">
        <v>318</v>
      </c>
      <c r="I5" s="287"/>
      <c r="J5" s="195"/>
      <c r="K5" s="288" t="s">
        <v>318</v>
      </c>
      <c r="L5" s="287"/>
      <c r="M5" s="286"/>
      <c r="N5" s="302" t="s">
        <v>283</v>
      </c>
      <c r="O5" s="151"/>
      <c r="P5" s="151"/>
      <c r="Q5" s="287"/>
      <c r="R5" s="271"/>
      <c r="S5" s="271"/>
      <c r="T5" s="271"/>
      <c r="U5" s="272"/>
    </row>
    <row r="6" spans="1:25" ht="18.75">
      <c r="A6" s="170"/>
      <c r="B6" s="171"/>
      <c r="C6" s="171"/>
      <c r="D6" s="171"/>
      <c r="E6" s="172" t="s">
        <v>22</v>
      </c>
      <c r="F6" s="172"/>
      <c r="G6" s="308" t="s">
        <v>245</v>
      </c>
      <c r="H6" s="369" t="s">
        <v>319</v>
      </c>
      <c r="I6" s="370" t="s">
        <v>320</v>
      </c>
      <c r="J6" s="308" t="s">
        <v>245</v>
      </c>
      <c r="K6" s="369" t="s">
        <v>319</v>
      </c>
      <c r="L6" s="370" t="s">
        <v>320</v>
      </c>
      <c r="M6" s="308" t="s">
        <v>245</v>
      </c>
      <c r="N6" s="347" t="s">
        <v>239</v>
      </c>
      <c r="O6" s="308" t="s">
        <v>240</v>
      </c>
      <c r="P6" s="308" t="s">
        <v>241</v>
      </c>
      <c r="Q6" s="308" t="s">
        <v>242</v>
      </c>
      <c r="R6" s="456" t="s">
        <v>161</v>
      </c>
      <c r="S6" s="457"/>
      <c r="T6" s="457"/>
      <c r="U6" s="458"/>
      <c r="V6" s="15"/>
      <c r="W6" s="3"/>
      <c r="X6" s="15"/>
      <c r="Y6" s="15"/>
    </row>
    <row r="7" spans="1:28" ht="18.75" customHeight="1">
      <c r="A7" s="17" t="s">
        <v>208</v>
      </c>
      <c r="B7" s="19"/>
      <c r="C7" s="19"/>
      <c r="D7" s="19"/>
      <c r="E7" s="18" t="s">
        <v>85</v>
      </c>
      <c r="F7" s="18" t="s">
        <v>27</v>
      </c>
      <c r="G7" s="348">
        <v>0.129</v>
      </c>
      <c r="H7" s="338">
        <f>tiptop1!G68</f>
        <v>0.092</v>
      </c>
      <c r="I7" s="338">
        <f>tiptop1!J68</f>
        <v>0.128</v>
      </c>
      <c r="J7" s="348">
        <v>0.132</v>
      </c>
      <c r="K7" s="372">
        <f>tiptop2!G68</f>
        <v>0.1</v>
      </c>
      <c r="L7" s="371">
        <f>tiptop2!J68</f>
        <v>0.127</v>
      </c>
      <c r="M7" s="371">
        <v>0.822</v>
      </c>
      <c r="N7" s="338">
        <f>tiptop3!G68</f>
        <v>0.35</v>
      </c>
      <c r="O7" s="338">
        <f>tiptop3!H68</f>
        <v>0.855</v>
      </c>
      <c r="P7" s="338">
        <f>tiptop3!I68</f>
        <v>1.358</v>
      </c>
      <c r="Q7" s="339">
        <f>tiptop3!J68</f>
        <v>1.702</v>
      </c>
      <c r="R7" s="179">
        <f>tiptop4!G68</f>
        <v>0.071</v>
      </c>
      <c r="S7" s="179">
        <f>tiptop4!H68</f>
        <v>0.127</v>
      </c>
      <c r="T7" s="179">
        <f>tiptop4!I68</f>
        <v>0.167</v>
      </c>
      <c r="U7" s="176">
        <f>tiptop4!J68</f>
        <v>0.425</v>
      </c>
      <c r="V7" s="141">
        <f>I7+L7</f>
        <v>0.255</v>
      </c>
      <c r="X7" s="141">
        <f>8*0.86</f>
        <v>6.88</v>
      </c>
      <c r="Z7" s="181"/>
      <c r="AA7" s="3"/>
      <c r="AB7" s="142"/>
    </row>
    <row r="8" spans="1:28" ht="18.75" customHeight="1">
      <c r="A8" s="17"/>
      <c r="B8" s="178" t="s">
        <v>175</v>
      </c>
      <c r="C8" s="19"/>
      <c r="D8" s="19"/>
      <c r="E8" s="18"/>
      <c r="F8" s="18"/>
      <c r="G8" s="349"/>
      <c r="H8" s="309"/>
      <c r="I8" s="309"/>
      <c r="J8" s="349"/>
      <c r="K8" s="309"/>
      <c r="L8" s="310"/>
      <c r="M8" s="310"/>
      <c r="N8" s="309"/>
      <c r="O8" s="309"/>
      <c r="P8" s="309"/>
      <c r="Q8" s="310"/>
      <c r="R8" s="26"/>
      <c r="S8" s="26"/>
      <c r="T8" s="26"/>
      <c r="U8" s="281"/>
      <c r="V8" s="3"/>
      <c r="W8" s="3"/>
      <c r="X8" s="3"/>
      <c r="Y8" s="3"/>
      <c r="Z8" s="181"/>
      <c r="AA8" s="3"/>
      <c r="AB8" s="142"/>
    </row>
    <row r="9" spans="1:28" ht="18.75" customHeight="1">
      <c r="A9" s="2" t="s">
        <v>111</v>
      </c>
      <c r="B9" s="8"/>
      <c r="C9" s="8"/>
      <c r="D9" s="8"/>
      <c r="E9" s="18" t="s">
        <v>262</v>
      </c>
      <c r="F9" s="18" t="s">
        <v>28</v>
      </c>
      <c r="G9" s="349">
        <v>11</v>
      </c>
      <c r="H9" s="309">
        <v>10</v>
      </c>
      <c r="I9" s="309">
        <f>H9</f>
        <v>10</v>
      </c>
      <c r="J9" s="349">
        <v>8</v>
      </c>
      <c r="K9" s="309">
        <v>8</v>
      </c>
      <c r="L9" s="310">
        <f>K9</f>
        <v>8</v>
      </c>
      <c r="M9" s="310">
        <v>135</v>
      </c>
      <c r="N9" s="309">
        <v>134</v>
      </c>
      <c r="O9" s="309">
        <f>N9</f>
        <v>134</v>
      </c>
      <c r="P9" s="309">
        <f>O9</f>
        <v>134</v>
      </c>
      <c r="Q9" s="310">
        <f>P9</f>
        <v>134</v>
      </c>
      <c r="R9" s="173">
        <v>8.8</v>
      </c>
      <c r="S9" s="173">
        <f>R9</f>
        <v>8.8</v>
      </c>
      <c r="T9" s="173">
        <f>S9</f>
        <v>8.8</v>
      </c>
      <c r="U9" s="249">
        <f>T9</f>
        <v>8.8</v>
      </c>
      <c r="Z9" s="181"/>
      <c r="AA9" s="3"/>
      <c r="AB9" s="142"/>
    </row>
    <row r="10" spans="1:21" ht="18.75">
      <c r="A10" s="17" t="s">
        <v>110</v>
      </c>
      <c r="B10" s="19"/>
      <c r="C10" s="19"/>
      <c r="D10" s="19"/>
      <c r="E10" s="8"/>
      <c r="F10" s="18"/>
      <c r="G10" s="349"/>
      <c r="H10" s="309"/>
      <c r="I10" s="309"/>
      <c r="J10" s="349"/>
      <c r="K10" s="309"/>
      <c r="L10" s="310"/>
      <c r="M10" s="310"/>
      <c r="N10" s="309"/>
      <c r="O10" s="309"/>
      <c r="P10" s="309"/>
      <c r="Q10" s="310"/>
      <c r="R10" s="179"/>
      <c r="S10" s="179"/>
      <c r="T10" s="179"/>
      <c r="U10" s="176"/>
    </row>
    <row r="11" spans="1:33" ht="20.25">
      <c r="A11" s="17"/>
      <c r="B11" s="28" t="s">
        <v>49</v>
      </c>
      <c r="C11" s="142"/>
      <c r="D11" s="142"/>
      <c r="E11" s="307" t="s">
        <v>246</v>
      </c>
      <c r="F11" s="18" t="s">
        <v>28</v>
      </c>
      <c r="G11" s="349">
        <f aca="true" t="shared" si="0" ref="G11:L11">ROUND((G12+G7/(G9*0.001)),1)</f>
        <v>75.7</v>
      </c>
      <c r="H11" s="346">
        <f t="shared" si="0"/>
        <v>64.2</v>
      </c>
      <c r="I11" s="310">
        <f t="shared" si="0"/>
        <v>72.8</v>
      </c>
      <c r="J11" s="349">
        <f t="shared" si="0"/>
        <v>75.5</v>
      </c>
      <c r="K11" s="346">
        <f t="shared" si="0"/>
        <v>67.5</v>
      </c>
      <c r="L11" s="310">
        <f t="shared" si="0"/>
        <v>75.9</v>
      </c>
      <c r="M11" s="310">
        <v>80</v>
      </c>
      <c r="N11" s="309">
        <v>73</v>
      </c>
      <c r="O11" s="309">
        <v>82</v>
      </c>
      <c r="P11" s="309">
        <v>91</v>
      </c>
      <c r="Q11" s="310">
        <v>100</v>
      </c>
      <c r="R11" s="179">
        <f>ROUND((R12+R7/(R9*0.001)),0)</f>
        <v>77</v>
      </c>
      <c r="S11" s="179">
        <f>ROUND((S12+S7/(S9*0.001)),0)</f>
        <v>87</v>
      </c>
      <c r="T11" s="179">
        <f>ROUND((T12+T7/(T9*0.001)),0)</f>
        <v>95</v>
      </c>
      <c r="U11" s="176">
        <f>ROUND((U12+U7/(S9*0.001)),0)</f>
        <v>128</v>
      </c>
      <c r="Z11" s="181"/>
      <c r="AA11" s="3"/>
      <c r="AB11" s="3"/>
      <c r="AC11" s="3"/>
      <c r="AD11" s="3"/>
      <c r="AE11" s="181"/>
      <c r="AF11" s="3"/>
      <c r="AG11" s="142"/>
    </row>
    <row r="12" spans="1:33" ht="20.25">
      <c r="A12" s="17"/>
      <c r="B12" s="28" t="s">
        <v>50</v>
      </c>
      <c r="C12" s="142"/>
      <c r="D12" s="142"/>
      <c r="E12" s="307" t="s">
        <v>247</v>
      </c>
      <c r="F12" s="18" t="s">
        <v>28</v>
      </c>
      <c r="G12" s="349">
        <v>64</v>
      </c>
      <c r="H12" s="346">
        <v>55</v>
      </c>
      <c r="I12" s="310">
        <v>60</v>
      </c>
      <c r="J12" s="349">
        <v>59</v>
      </c>
      <c r="K12" s="346">
        <v>55</v>
      </c>
      <c r="L12" s="310">
        <v>60</v>
      </c>
      <c r="M12" s="310">
        <f>ROUND((M11-M7/(M9*0.001)),0)</f>
        <v>74</v>
      </c>
      <c r="N12" s="309">
        <f>ROUND((N11-N7/(N9*0.001)),1)</f>
        <v>70.4</v>
      </c>
      <c r="O12" s="309">
        <f>ROUND((O11-O7/(O9*0.001)),1)</f>
        <v>75.6</v>
      </c>
      <c r="P12" s="309">
        <f>ROUND((P11-P7/(P9*0.001)),1)</f>
        <v>80.9</v>
      </c>
      <c r="Q12" s="310">
        <f>ROUND((Q11-Q7/(Q9*0.001)),1)</f>
        <v>87.3</v>
      </c>
      <c r="R12" s="179">
        <v>69</v>
      </c>
      <c r="S12" s="179">
        <v>73</v>
      </c>
      <c r="T12" s="179">
        <v>76</v>
      </c>
      <c r="U12" s="176">
        <v>80</v>
      </c>
      <c r="Z12" s="8"/>
      <c r="AA12" s="8"/>
      <c r="AB12" s="173"/>
      <c r="AC12" s="173"/>
      <c r="AD12" s="3"/>
      <c r="AE12" s="181"/>
      <c r="AF12" s="3"/>
      <c r="AG12" s="142"/>
    </row>
    <row r="13" spans="1:33" ht="23.25">
      <c r="A13" s="2" t="s">
        <v>180</v>
      </c>
      <c r="B13" s="8"/>
      <c r="C13" s="8"/>
      <c r="D13" s="8"/>
      <c r="E13" s="307" t="s">
        <v>263</v>
      </c>
      <c r="F13" s="18" t="s">
        <v>28</v>
      </c>
      <c r="G13" s="349">
        <v>2.5</v>
      </c>
      <c r="H13" s="346">
        <v>2.5</v>
      </c>
      <c r="I13" s="310">
        <v>2.6</v>
      </c>
      <c r="J13" s="349">
        <v>2.5</v>
      </c>
      <c r="K13" s="309">
        <v>2.5</v>
      </c>
      <c r="L13" s="310">
        <v>2.6</v>
      </c>
      <c r="M13" s="310">
        <v>2.7</v>
      </c>
      <c r="N13" s="309">
        <v>2.7</v>
      </c>
      <c r="O13" s="309">
        <v>2.8</v>
      </c>
      <c r="P13" s="309">
        <v>2.9</v>
      </c>
      <c r="Q13" s="310">
        <v>3.2</v>
      </c>
      <c r="R13" s="179">
        <v>2.7</v>
      </c>
      <c r="S13" s="179">
        <v>2.7</v>
      </c>
      <c r="T13" s="179">
        <v>2.7</v>
      </c>
      <c r="U13" s="176">
        <v>2.8</v>
      </c>
      <c r="Z13" s="8"/>
      <c r="AA13" s="8"/>
      <c r="AB13" s="173"/>
      <c r="AC13" s="173"/>
      <c r="AD13" s="3"/>
      <c r="AE13" s="181"/>
      <c r="AF13" s="3"/>
      <c r="AG13" s="142"/>
    </row>
    <row r="14" spans="1:33" ht="18.75">
      <c r="A14" s="17"/>
      <c r="B14" s="178" t="s">
        <v>176</v>
      </c>
      <c r="C14" s="19"/>
      <c r="D14" s="142"/>
      <c r="E14" s="8"/>
      <c r="F14" s="8"/>
      <c r="G14" s="350"/>
      <c r="H14" s="311"/>
      <c r="I14" s="312"/>
      <c r="J14" s="350"/>
      <c r="K14" s="28"/>
      <c r="L14" s="146"/>
      <c r="M14" s="313"/>
      <c r="N14" s="312"/>
      <c r="O14" s="312"/>
      <c r="P14" s="312"/>
      <c r="Q14" s="313"/>
      <c r="R14" s="28"/>
      <c r="S14" s="28"/>
      <c r="T14" s="28"/>
      <c r="U14" s="146"/>
      <c r="Z14" s="8"/>
      <c r="AA14" s="8"/>
      <c r="AB14" s="39"/>
      <c r="AC14" s="183"/>
      <c r="AD14" s="3"/>
      <c r="AE14" s="181"/>
      <c r="AF14" s="3"/>
      <c r="AG14" s="142"/>
    </row>
    <row r="15" spans="1:32" ht="18.75">
      <c r="A15" s="17" t="s">
        <v>114</v>
      </c>
      <c r="B15" s="19"/>
      <c r="C15" s="19"/>
      <c r="D15" s="19"/>
      <c r="E15" s="8"/>
      <c r="F15" s="8"/>
      <c r="G15" s="177"/>
      <c r="H15" s="315" t="s">
        <v>29</v>
      </c>
      <c r="I15" s="345"/>
      <c r="J15" s="312"/>
      <c r="K15" s="28"/>
      <c r="L15" s="313"/>
      <c r="M15" s="312"/>
      <c r="N15" s="314"/>
      <c r="O15" s="314"/>
      <c r="P15" s="314"/>
      <c r="Q15" s="316"/>
      <c r="R15" s="243"/>
      <c r="S15" s="243"/>
      <c r="T15" s="243"/>
      <c r="U15" s="244"/>
      <c r="Z15" s="8"/>
      <c r="AA15" s="8"/>
      <c r="AB15" s="187"/>
      <c r="AC15" s="183"/>
      <c r="AD15" s="11"/>
      <c r="AE15" s="11"/>
      <c r="AF15" s="11"/>
    </row>
    <row r="16" spans="1:45" ht="22.5" customHeight="1">
      <c r="A16" s="17" t="s">
        <v>327</v>
      </c>
      <c r="B16" s="19"/>
      <c r="C16" s="19"/>
      <c r="D16" s="19"/>
      <c r="E16" s="18" t="s">
        <v>248</v>
      </c>
      <c r="F16" s="18" t="s">
        <v>115</v>
      </c>
      <c r="G16" s="346"/>
      <c r="H16" s="312"/>
      <c r="I16" s="311"/>
      <c r="J16" s="312">
        <f>tiptop1!B68</f>
        <v>8182</v>
      </c>
      <c r="K16" s="314"/>
      <c r="L16" s="313"/>
      <c r="M16" s="312"/>
      <c r="N16" s="28"/>
      <c r="O16" s="28"/>
      <c r="P16" s="28"/>
      <c r="Q16" s="146"/>
      <c r="R16" s="243"/>
      <c r="S16" s="243"/>
      <c r="T16" s="243"/>
      <c r="U16" s="244"/>
      <c r="Z16" s="17" t="s">
        <v>154</v>
      </c>
      <c r="AA16" s="19"/>
      <c r="AB16" s="19"/>
      <c r="AC16" s="19"/>
      <c r="AD16" s="173" t="s">
        <v>123</v>
      </c>
      <c r="AE16" s="173" t="s">
        <v>28</v>
      </c>
      <c r="AF16" s="186">
        <f>tiptop1!G70</f>
        <v>122</v>
      </c>
      <c r="AG16" s="184">
        <f>tiptop1!H70</f>
        <v>0</v>
      </c>
      <c r="AH16" s="184">
        <f>tiptop1!I70</f>
        <v>0</v>
      </c>
      <c r="AI16" s="185">
        <f>tiptop1!J70</f>
        <v>116</v>
      </c>
      <c r="AJ16" s="186">
        <f>tiptop2!G70</f>
        <v>120</v>
      </c>
      <c r="AK16" s="184">
        <f>tiptop2!H70</f>
        <v>0</v>
      </c>
      <c r="AL16" s="184">
        <f>tiptop2!I70</f>
        <v>0</v>
      </c>
      <c r="AM16" s="185">
        <f>tiptop2!J70</f>
        <v>110</v>
      </c>
      <c r="AN16" s="186">
        <f>tiptop3!G70</f>
        <v>95</v>
      </c>
      <c r="AO16" s="184">
        <f>tiptop3!H70</f>
        <v>92</v>
      </c>
      <c r="AP16" s="184">
        <f>tiptop3!I70</f>
        <v>90</v>
      </c>
      <c r="AQ16" s="185">
        <f>tiptop3!J70</f>
        <v>87</v>
      </c>
      <c r="AR16" s="186">
        <f>tiptop4!G70</f>
        <v>13</v>
      </c>
      <c r="AS16" s="191">
        <f>tiptop4!J70</f>
        <v>13</v>
      </c>
    </row>
    <row r="17" spans="1:45" ht="22.5" customHeight="1">
      <c r="A17" s="2" t="s">
        <v>289</v>
      </c>
      <c r="B17" s="19"/>
      <c r="C17" s="19"/>
      <c r="D17" s="19"/>
      <c r="E17" s="18"/>
      <c r="F17" s="18" t="s">
        <v>28</v>
      </c>
      <c r="G17" s="349">
        <v>1.7</v>
      </c>
      <c r="H17" s="309">
        <v>1.8</v>
      </c>
      <c r="I17" s="310">
        <v>1.6</v>
      </c>
      <c r="J17" s="349">
        <v>1.5</v>
      </c>
      <c r="K17" s="309">
        <v>1.8</v>
      </c>
      <c r="L17" s="310">
        <v>1.6</v>
      </c>
      <c r="M17" s="310">
        <v>29</v>
      </c>
      <c r="N17" s="309">
        <v>29</v>
      </c>
      <c r="O17" s="309">
        <v>29</v>
      </c>
      <c r="P17" s="309">
        <v>29</v>
      </c>
      <c r="Q17" s="310">
        <v>29</v>
      </c>
      <c r="R17" s="179">
        <f>R18+2.4</f>
        <v>14.200000000000001</v>
      </c>
      <c r="S17" s="179">
        <v>15</v>
      </c>
      <c r="T17" s="179">
        <f>T18+3.3</f>
        <v>14.3</v>
      </c>
      <c r="U17" s="176">
        <f>U18+4</f>
        <v>15</v>
      </c>
      <c r="AR17" s="184"/>
      <c r="AS17" s="184"/>
    </row>
    <row r="18" spans="1:45" ht="22.5" customHeight="1">
      <c r="A18" s="17" t="s">
        <v>321</v>
      </c>
      <c r="B18" s="19"/>
      <c r="C18" s="19"/>
      <c r="D18" s="19"/>
      <c r="E18" s="18" t="s">
        <v>249</v>
      </c>
      <c r="F18" s="18" t="s">
        <v>28</v>
      </c>
      <c r="G18" s="349" t="s">
        <v>163</v>
      </c>
      <c r="H18" s="309">
        <f>tiptop1!G70</f>
        <v>122</v>
      </c>
      <c r="I18" s="309">
        <f>tiptop1!J70</f>
        <v>116</v>
      </c>
      <c r="J18" s="349" t="s">
        <v>163</v>
      </c>
      <c r="K18" s="309">
        <f>tiptop2!G70</f>
        <v>120</v>
      </c>
      <c r="L18" s="310">
        <f>tiptop2!J70</f>
        <v>110</v>
      </c>
      <c r="M18" s="310" t="s">
        <v>163</v>
      </c>
      <c r="N18" s="346">
        <f>0.1*tiptop3!G70</f>
        <v>9.5</v>
      </c>
      <c r="O18" s="309">
        <f>0.1*tiptop3!H70</f>
        <v>9.200000000000001</v>
      </c>
      <c r="P18" s="309">
        <f>0.1*tiptop3!I70</f>
        <v>9</v>
      </c>
      <c r="Q18" s="310">
        <f>0.1*tiptop3!J70</f>
        <v>8.700000000000001</v>
      </c>
      <c r="R18" s="179">
        <v>11.8</v>
      </c>
      <c r="S18" s="179">
        <v>11.2</v>
      </c>
      <c r="T18" s="179">
        <v>11</v>
      </c>
      <c r="U18" s="176">
        <v>11</v>
      </c>
      <c r="Z18" s="19"/>
      <c r="AA18" s="19"/>
      <c r="AB18" s="19"/>
      <c r="AC18" s="19"/>
      <c r="AD18" s="173"/>
      <c r="AE18" s="173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</row>
    <row r="19" spans="1:27" ht="23.25">
      <c r="A19" s="2" t="s">
        <v>272</v>
      </c>
      <c r="B19" s="8"/>
      <c r="C19" s="8"/>
      <c r="D19" s="8"/>
      <c r="E19" s="3" t="s">
        <v>250</v>
      </c>
      <c r="F19" s="18" t="s">
        <v>28</v>
      </c>
      <c r="G19" s="349">
        <v>17.4</v>
      </c>
      <c r="H19" s="309">
        <f>tiptop1!G69</f>
        <v>12</v>
      </c>
      <c r="I19" s="309">
        <f>tiptop1!J69</f>
        <v>17</v>
      </c>
      <c r="J19" s="349">
        <v>17.5</v>
      </c>
      <c r="K19" s="309">
        <f>tiptop2!G69</f>
        <v>13</v>
      </c>
      <c r="L19" s="310">
        <f>tiptop2!J69</f>
        <v>16.7</v>
      </c>
      <c r="M19" s="310">
        <v>108</v>
      </c>
      <c r="N19" s="309">
        <f>tiptop3!G69</f>
        <v>46</v>
      </c>
      <c r="O19" s="309">
        <f>tiptop3!H69</f>
        <v>113.5</v>
      </c>
      <c r="P19" s="309">
        <f>tiptop3!I69</f>
        <v>183</v>
      </c>
      <c r="Q19" s="310">
        <f>tiptop3!J69</f>
        <v>232</v>
      </c>
      <c r="R19" s="179">
        <f>tiptop4!G69</f>
        <v>9.2</v>
      </c>
      <c r="S19" s="179">
        <f>tiptop4!H69</f>
        <v>16.4</v>
      </c>
      <c r="T19" s="179">
        <f>tiptop4!I69</f>
        <v>21.6</v>
      </c>
      <c r="U19" s="176">
        <f>tiptop4!J69</f>
        <v>56</v>
      </c>
      <c r="W19" s="179">
        <f>100000*(103-80)*8.8/(8000*27)</f>
        <v>93.70370370370371</v>
      </c>
      <c r="X19" s="179"/>
      <c r="Y19" s="179"/>
      <c r="Z19" s="179"/>
      <c r="AA19" s="142"/>
    </row>
    <row r="20" spans="1:27" ht="18.75">
      <c r="A20" s="177"/>
      <c r="B20" s="178" t="s">
        <v>177</v>
      </c>
      <c r="C20" s="19"/>
      <c r="D20" s="19"/>
      <c r="E20" s="18"/>
      <c r="F20" s="18"/>
      <c r="G20" s="351"/>
      <c r="H20" s="317"/>
      <c r="I20" s="317"/>
      <c r="J20" s="351"/>
      <c r="K20" s="317"/>
      <c r="L20" s="318"/>
      <c r="M20" s="318"/>
      <c r="N20" s="317"/>
      <c r="O20" s="317"/>
      <c r="P20" s="317"/>
      <c r="Q20" s="318"/>
      <c r="R20" s="192"/>
      <c r="S20" s="192"/>
      <c r="T20" s="192"/>
      <c r="U20" s="193"/>
      <c r="W20" s="142"/>
      <c r="X20" s="142"/>
      <c r="Y20" s="142"/>
      <c r="Z20" s="142"/>
      <c r="AA20" s="142"/>
    </row>
    <row r="21" spans="1:43" ht="20.25">
      <c r="A21" s="256" t="s">
        <v>127</v>
      </c>
      <c r="B21" s="257"/>
      <c r="C21" s="257"/>
      <c r="D21" s="257"/>
      <c r="E21" s="330" t="s">
        <v>251</v>
      </c>
      <c r="F21" s="330" t="s">
        <v>28</v>
      </c>
      <c r="G21" s="352">
        <v>17</v>
      </c>
      <c r="H21" s="319">
        <f>tiptop1!B74</f>
        <v>15</v>
      </c>
      <c r="I21" s="319">
        <f>H21</f>
        <v>15</v>
      </c>
      <c r="J21" s="352">
        <v>16</v>
      </c>
      <c r="K21" s="319">
        <f>tiptop2!B74</f>
        <v>15</v>
      </c>
      <c r="L21" s="320">
        <f>K21</f>
        <v>15</v>
      </c>
      <c r="M21" s="320">
        <v>16</v>
      </c>
      <c r="N21" s="319">
        <f>tiptop3!B74</f>
        <v>15</v>
      </c>
      <c r="O21" s="319">
        <f>N21</f>
        <v>15</v>
      </c>
      <c r="P21" s="319">
        <f>O21</f>
        <v>15</v>
      </c>
      <c r="Q21" s="320">
        <f>P21</f>
        <v>15</v>
      </c>
      <c r="Z21" s="17" t="s">
        <v>130</v>
      </c>
      <c r="AA21" s="19"/>
      <c r="AB21" s="19"/>
      <c r="AC21" s="19"/>
      <c r="AD21" s="173" t="s">
        <v>42</v>
      </c>
      <c r="AE21" s="173" t="s">
        <v>28</v>
      </c>
      <c r="AF21" s="174">
        <f>tiptop1!G72</f>
        <v>0</v>
      </c>
      <c r="AG21" s="179">
        <f>tiptop1!H72</f>
        <v>0</v>
      </c>
      <c r="AH21" s="179">
        <f>tiptop1!I72</f>
        <v>0</v>
      </c>
      <c r="AI21" s="175">
        <f>tiptop1!J72</f>
        <v>0</v>
      </c>
      <c r="AJ21" s="174">
        <f>tiptop2!G72</f>
        <v>0</v>
      </c>
      <c r="AK21" s="179">
        <f>tiptop2!H72</f>
        <v>0</v>
      </c>
      <c r="AL21" s="179">
        <f>tiptop2!I72</f>
        <v>0</v>
      </c>
      <c r="AM21" s="175">
        <f>tiptop2!J72</f>
        <v>0</v>
      </c>
      <c r="AN21" s="174">
        <f>tiptop3!G72</f>
        <v>0</v>
      </c>
      <c r="AO21" s="179">
        <f>tiptop3!H72</f>
        <v>0</v>
      </c>
      <c r="AP21" s="179">
        <f>tiptop3!I72</f>
        <v>0</v>
      </c>
      <c r="AQ21" s="176">
        <f>tiptop3!J72</f>
        <v>0</v>
      </c>
    </row>
    <row r="22" spans="1:25" ht="20.25">
      <c r="A22" s="374" t="s">
        <v>128</v>
      </c>
      <c r="B22" s="375"/>
      <c r="C22" s="375"/>
      <c r="D22" s="375"/>
      <c r="E22" s="376" t="s">
        <v>252</v>
      </c>
      <c r="F22" s="376" t="s">
        <v>28</v>
      </c>
      <c r="G22" s="377">
        <v>189</v>
      </c>
      <c r="H22" s="378">
        <f>tiptop1!G75</f>
        <v>120</v>
      </c>
      <c r="I22" s="378">
        <f>tiptop1!J75</f>
        <v>160</v>
      </c>
      <c r="J22" s="377">
        <v>160</v>
      </c>
      <c r="K22" s="378">
        <f>tiptop2!G75</f>
        <v>114</v>
      </c>
      <c r="L22" s="379">
        <f>tiptop2!J75</f>
        <v>149</v>
      </c>
      <c r="M22" s="353">
        <v>133</v>
      </c>
      <c r="N22" s="322">
        <f>tiptop3!G75</f>
        <v>118</v>
      </c>
      <c r="O22" s="322">
        <f>tiptop3!H75</f>
        <v>151</v>
      </c>
      <c r="P22" s="322">
        <f>tiptop3!I75</f>
        <v>184</v>
      </c>
      <c r="Q22" s="323">
        <f>tiptop3!J75</f>
        <v>208</v>
      </c>
      <c r="R22" s="258">
        <f>tiptop4!G75</f>
        <v>123</v>
      </c>
      <c r="S22" s="258">
        <f>tiptop4!H75</f>
        <v>137</v>
      </c>
      <c r="T22" s="258">
        <f>tiptop4!I75</f>
        <v>148</v>
      </c>
      <c r="U22" s="259">
        <f>tiptop4!J75</f>
        <v>188</v>
      </c>
      <c r="V22" s="3"/>
      <c r="W22" s="3"/>
      <c r="X22" s="11"/>
      <c r="Y22" s="3"/>
    </row>
    <row r="23" spans="1:25" ht="18.75">
      <c r="A23" s="17" t="s">
        <v>183</v>
      </c>
      <c r="B23" s="19"/>
      <c r="C23" s="19"/>
      <c r="D23" s="19"/>
      <c r="E23" s="18"/>
      <c r="F23" s="18"/>
      <c r="G23" s="349"/>
      <c r="H23" s="309"/>
      <c r="I23" s="309"/>
      <c r="J23" s="349"/>
      <c r="K23" s="309"/>
      <c r="L23" s="310"/>
      <c r="M23" s="349"/>
      <c r="N23" s="309"/>
      <c r="O23" s="309"/>
      <c r="P23" s="309"/>
      <c r="Q23" s="310"/>
      <c r="R23" s="215"/>
      <c r="S23" s="215"/>
      <c r="T23" s="215"/>
      <c r="U23" s="196"/>
      <c r="V23" s="3"/>
      <c r="W23" s="3"/>
      <c r="X23" s="11"/>
      <c r="Y23" s="3"/>
    </row>
    <row r="24" spans="1:25" ht="20.25">
      <c r="A24" s="17"/>
      <c r="B24" s="19" t="s">
        <v>124</v>
      </c>
      <c r="C24" s="19"/>
      <c r="D24" s="19"/>
      <c r="E24" s="19" t="s">
        <v>253</v>
      </c>
      <c r="F24" s="18" t="s">
        <v>28</v>
      </c>
      <c r="G24" s="349">
        <v>4.5</v>
      </c>
      <c r="H24" s="309">
        <f>tiptop1!G78</f>
        <v>4.9</v>
      </c>
      <c r="I24" s="309">
        <f>tiptop1!J78</f>
        <v>3.8</v>
      </c>
      <c r="J24" s="349">
        <v>3.7</v>
      </c>
      <c r="K24" s="309">
        <f>tiptop2!G78</f>
        <v>4.9</v>
      </c>
      <c r="L24" s="310">
        <f>tiptop2!J78</f>
        <v>4.1</v>
      </c>
      <c r="M24" s="349">
        <v>4</v>
      </c>
      <c r="N24" s="324">
        <f>tiptop3!G78</f>
        <v>4.9</v>
      </c>
      <c r="O24" s="324">
        <f>tiptop3!H78</f>
        <v>4</v>
      </c>
      <c r="P24" s="324">
        <f>tiptop3!I78</f>
        <v>3.7</v>
      </c>
      <c r="Q24" s="310">
        <f>tiptop3!J78</f>
        <v>3.5</v>
      </c>
      <c r="R24" s="184">
        <f>tiptop4!G78</f>
        <v>6.2</v>
      </c>
      <c r="S24" s="184">
        <f>tiptop4!H78</f>
        <v>4.9</v>
      </c>
      <c r="T24" s="184">
        <f>tiptop4!I78</f>
        <v>4</v>
      </c>
      <c r="U24" s="191">
        <f>tiptop4!J78</f>
        <v>3.3</v>
      </c>
      <c r="V24" s="3"/>
      <c r="W24" s="3"/>
      <c r="X24" s="11"/>
      <c r="Y24" s="3"/>
    </row>
    <row r="25" spans="1:25" ht="18.75">
      <c r="A25" s="17"/>
      <c r="B25" s="19" t="s">
        <v>113</v>
      </c>
      <c r="C25" s="19"/>
      <c r="D25" s="19"/>
      <c r="E25" s="19" t="s">
        <v>18</v>
      </c>
      <c r="F25" s="18" t="s">
        <v>28</v>
      </c>
      <c r="G25" s="349">
        <v>0</v>
      </c>
      <c r="H25" s="309">
        <f>tiptop1!G82</f>
        <v>0</v>
      </c>
      <c r="I25" s="309">
        <f>tiptop1!J82</f>
        <v>0</v>
      </c>
      <c r="J25" s="349">
        <v>0</v>
      </c>
      <c r="K25" s="309">
        <f>tiptop2!G82</f>
        <v>0</v>
      </c>
      <c r="L25" s="310">
        <f>tiptop2!J82</f>
        <v>0</v>
      </c>
      <c r="M25" s="349">
        <v>0</v>
      </c>
      <c r="N25" s="324">
        <f>tiptop3!G82</f>
        <v>0</v>
      </c>
      <c r="O25" s="324">
        <f>tiptop3!H82</f>
        <v>0</v>
      </c>
      <c r="P25" s="324">
        <f>tiptop3!I82</f>
        <v>0</v>
      </c>
      <c r="Q25" s="325">
        <f>tiptop3!J82</f>
        <v>0</v>
      </c>
      <c r="R25" s="184">
        <f>tiptop4!G82</f>
        <v>57</v>
      </c>
      <c r="S25" s="184">
        <f>tiptop4!H82</f>
        <v>48</v>
      </c>
      <c r="T25" s="184">
        <f>tiptop4!I82</f>
        <v>11</v>
      </c>
      <c r="U25" s="191">
        <f>tiptop4!J82</f>
        <v>9</v>
      </c>
      <c r="V25" s="3"/>
      <c r="W25" s="3"/>
      <c r="X25" s="11"/>
      <c r="Y25" s="3"/>
    </row>
    <row r="26" spans="1:50" ht="20.25">
      <c r="A26" s="17"/>
      <c r="B26" s="19" t="s">
        <v>125</v>
      </c>
      <c r="C26" s="19"/>
      <c r="D26" s="19"/>
      <c r="E26" s="19" t="s">
        <v>254</v>
      </c>
      <c r="F26" s="18" t="s">
        <v>27</v>
      </c>
      <c r="G26" s="349">
        <v>9.26</v>
      </c>
      <c r="H26" s="309">
        <f>tiptop1!G79</f>
        <v>9.03</v>
      </c>
      <c r="I26" s="309">
        <f>tiptop1!J79</f>
        <v>9.65</v>
      </c>
      <c r="J26" s="349">
        <v>9.71</v>
      </c>
      <c r="K26" s="309">
        <f>tiptop2!G79</f>
        <v>9.03</v>
      </c>
      <c r="L26" s="310">
        <f>tiptop2!J79</f>
        <v>9.49</v>
      </c>
      <c r="M26" s="349">
        <v>9.54</v>
      </c>
      <c r="N26" s="324">
        <f>tiptop3!G79</f>
        <v>9.03</v>
      </c>
      <c r="O26" s="324">
        <f>tiptop3!H79</f>
        <v>9.54</v>
      </c>
      <c r="P26" s="324">
        <f>tiptop3!I79</f>
        <v>9.71</v>
      </c>
      <c r="Q26" s="310">
        <f>tiptop3!J79</f>
        <v>9.82</v>
      </c>
      <c r="R26" s="184">
        <f>tiptop4!G79</f>
        <v>8.3</v>
      </c>
      <c r="S26" s="184">
        <f>tiptop4!H79</f>
        <v>9.03</v>
      </c>
      <c r="T26" s="184">
        <f>tiptop4!I79</f>
        <v>9.54</v>
      </c>
      <c r="U26" s="191">
        <f>tiptop4!J79</f>
        <v>9.94</v>
      </c>
      <c r="V26" s="3"/>
      <c r="W26" s="3"/>
      <c r="X26" s="11"/>
      <c r="Y26" s="3"/>
      <c r="Z26" s="17"/>
      <c r="AA26" s="19" t="s">
        <v>264</v>
      </c>
      <c r="AB26" s="19"/>
      <c r="AC26" s="19"/>
      <c r="AD26" s="307" t="s">
        <v>265</v>
      </c>
      <c r="AE26" s="18" t="s">
        <v>28</v>
      </c>
      <c r="AF26" s="349">
        <v>37</v>
      </c>
      <c r="AG26" s="309">
        <f>tiptop1!G89</f>
        <v>36</v>
      </c>
      <c r="AH26" s="309">
        <f>tiptop1!H89</f>
        <v>0</v>
      </c>
      <c r="AI26" s="309">
        <f>tiptop1!I89</f>
        <v>0</v>
      </c>
      <c r="AJ26" s="309">
        <f>tiptop1!J89</f>
        <v>37</v>
      </c>
      <c r="AK26" s="349">
        <v>39</v>
      </c>
      <c r="AL26" s="309">
        <f>tiptop2!G89</f>
        <v>33</v>
      </c>
      <c r="AM26" s="309">
        <f>tiptop2!H89</f>
        <v>0</v>
      </c>
      <c r="AN26" s="309">
        <f>tiptop2!I89</f>
        <v>0</v>
      </c>
      <c r="AO26" s="309">
        <f>tiptop2!J89</f>
        <v>33</v>
      </c>
      <c r="AP26" s="349"/>
      <c r="AQ26" s="324">
        <f>tiptop3!G89</f>
        <v>0</v>
      </c>
      <c r="AR26" s="324">
        <f>tiptop3!H89</f>
        <v>0</v>
      </c>
      <c r="AS26" s="324">
        <f>tiptop3!I89</f>
        <v>0</v>
      </c>
      <c r="AT26" s="310">
        <f>tiptop3!J89</f>
        <v>55</v>
      </c>
      <c r="AU26" s="184">
        <f>tiptop4!G89</f>
        <v>26</v>
      </c>
      <c r="AV26" s="184">
        <f>tiptop4!H89</f>
        <v>27</v>
      </c>
      <c r="AW26" s="184">
        <f>tiptop4!I89</f>
        <v>28</v>
      </c>
      <c r="AX26" s="191">
        <f>tiptop4!J89</f>
        <v>0</v>
      </c>
    </row>
    <row r="27" spans="1:25" ht="18.75">
      <c r="A27" s="17" t="s">
        <v>129</v>
      </c>
      <c r="B27" s="19"/>
      <c r="C27" s="19"/>
      <c r="D27" s="19"/>
      <c r="E27" s="340" t="s">
        <v>267</v>
      </c>
      <c r="F27" s="18" t="s">
        <v>27</v>
      </c>
      <c r="G27" s="349">
        <v>1.25</v>
      </c>
      <c r="H27" s="309">
        <f>tiptop1!G80</f>
        <v>1.27</v>
      </c>
      <c r="I27" s="309">
        <f>tiptop1!J80</f>
        <v>1.2</v>
      </c>
      <c r="J27" s="349">
        <v>1.19</v>
      </c>
      <c r="K27" s="309">
        <f>tiptop2!G80</f>
        <v>1.27</v>
      </c>
      <c r="L27" s="310">
        <f>tiptop2!J80</f>
        <v>1.22</v>
      </c>
      <c r="M27" s="349">
        <v>1.21</v>
      </c>
      <c r="N27" s="324">
        <f>tiptop3!G80</f>
        <v>1.27</v>
      </c>
      <c r="O27" s="324">
        <f>tiptop3!H80</f>
        <v>1.21</v>
      </c>
      <c r="P27" s="324">
        <f>tiptop3!I80</f>
        <v>1.19</v>
      </c>
      <c r="Q27" s="310">
        <f>tiptop3!J80</f>
        <v>1.18</v>
      </c>
      <c r="R27" s="184">
        <f>tiptop4!G80</f>
        <v>1.38</v>
      </c>
      <c r="S27" s="184">
        <f>tiptop4!H80</f>
        <v>1.27</v>
      </c>
      <c r="T27" s="184">
        <f>tiptop4!I80</f>
        <v>1.21</v>
      </c>
      <c r="U27" s="191">
        <f>tiptop4!J80</f>
        <v>1.17</v>
      </c>
      <c r="V27" s="3"/>
      <c r="W27" s="3"/>
      <c r="X27" s="11"/>
      <c r="Y27" s="3"/>
    </row>
    <row r="28" spans="1:25" ht="18.75">
      <c r="A28" s="17" t="s">
        <v>126</v>
      </c>
      <c r="B28" s="19"/>
      <c r="C28" s="19"/>
      <c r="D28" s="19"/>
      <c r="E28" s="18" t="s">
        <v>266</v>
      </c>
      <c r="F28" s="18" t="s">
        <v>27</v>
      </c>
      <c r="G28" s="349">
        <v>4.98</v>
      </c>
      <c r="H28" s="309">
        <f>tiptop1!B86</f>
        <v>5.04</v>
      </c>
      <c r="I28" s="309">
        <f>tiptop1!E86</f>
        <v>4.8</v>
      </c>
      <c r="J28" s="349">
        <v>4.78</v>
      </c>
      <c r="K28" s="309">
        <f>tiptop2!B86</f>
        <v>5.04</v>
      </c>
      <c r="L28" s="310">
        <f>tiptop2!E86</f>
        <v>4.86</v>
      </c>
      <c r="M28" s="349">
        <v>4.83</v>
      </c>
      <c r="N28" s="324">
        <f>tiptop3!B86</f>
        <v>5.04</v>
      </c>
      <c r="O28" s="324">
        <f>tiptop3!C86</f>
        <v>4.84</v>
      </c>
      <c r="P28" s="324">
        <f>tiptop3!D86</f>
        <v>4.79</v>
      </c>
      <c r="Q28" s="310">
        <f>tiptop3!E86</f>
        <v>4.76</v>
      </c>
      <c r="R28" s="184">
        <f>tiptop4!B86</f>
        <v>5.4</v>
      </c>
      <c r="S28" s="184">
        <f>tiptop4!C86</f>
        <v>5.05</v>
      </c>
      <c r="T28" s="184">
        <f>tiptop4!D86</f>
        <v>4.84</v>
      </c>
      <c r="U28" s="191">
        <f>tiptop4!E86</f>
        <v>4.71</v>
      </c>
      <c r="V28" s="3"/>
      <c r="W28" s="3"/>
      <c r="X28" s="11"/>
      <c r="Y28" s="3"/>
    </row>
    <row r="29" spans="1:27" ht="18.75">
      <c r="A29" s="177"/>
      <c r="B29" s="178" t="s">
        <v>178</v>
      </c>
      <c r="C29" s="19"/>
      <c r="D29" s="19"/>
      <c r="E29" s="18"/>
      <c r="F29" s="18"/>
      <c r="G29" s="349"/>
      <c r="H29" s="309"/>
      <c r="I29" s="309"/>
      <c r="J29" s="349"/>
      <c r="K29" s="309"/>
      <c r="L29" s="310"/>
      <c r="M29" s="349"/>
      <c r="N29" s="309"/>
      <c r="O29" s="309"/>
      <c r="P29" s="309"/>
      <c r="Q29" s="310"/>
      <c r="R29" s="179"/>
      <c r="S29" s="179"/>
      <c r="T29" s="179"/>
      <c r="U29" s="176"/>
      <c r="V29" s="8"/>
      <c r="W29" s="8"/>
      <c r="X29" s="8"/>
      <c r="Y29" s="8"/>
      <c r="Z29" s="8"/>
      <c r="AA29" s="8"/>
    </row>
    <row r="30" spans="1:27" ht="18.75">
      <c r="A30" s="17" t="s">
        <v>43</v>
      </c>
      <c r="B30" s="19"/>
      <c r="C30" s="19"/>
      <c r="D30" s="19"/>
      <c r="E30" s="18"/>
      <c r="F30" s="18"/>
      <c r="G30" s="349"/>
      <c r="H30" s="309"/>
      <c r="I30" s="309"/>
      <c r="J30" s="349"/>
      <c r="K30" s="309"/>
      <c r="L30" s="310"/>
      <c r="M30" s="349"/>
      <c r="N30" s="309"/>
      <c r="O30" s="309"/>
      <c r="P30" s="309"/>
      <c r="Q30" s="310"/>
      <c r="R30" s="179"/>
      <c r="S30" s="179"/>
      <c r="T30" s="179"/>
      <c r="U30" s="176"/>
      <c r="V30" s="8"/>
      <c r="W30" s="8"/>
      <c r="X30" s="8"/>
      <c r="Y30" s="8"/>
      <c r="Z30" s="8"/>
      <c r="AA30" s="8"/>
    </row>
    <row r="31" spans="1:27" ht="20.25">
      <c r="A31" s="17"/>
      <c r="B31" s="19" t="s">
        <v>31</v>
      </c>
      <c r="C31" s="19"/>
      <c r="D31" s="19"/>
      <c r="E31" s="18" t="s">
        <v>268</v>
      </c>
      <c r="F31" s="18" t="s">
        <v>27</v>
      </c>
      <c r="G31" s="349">
        <v>8.69</v>
      </c>
      <c r="H31" s="309">
        <f>tiptop1!G81</f>
        <v>5.41</v>
      </c>
      <c r="I31" s="309">
        <f>tiptop1!J81</f>
        <v>7.07</v>
      </c>
      <c r="J31" s="349">
        <v>7</v>
      </c>
      <c r="K31" s="309">
        <f>tiptop2!G81</f>
        <v>5.1</v>
      </c>
      <c r="L31" s="310">
        <f>tiptop2!J81</f>
        <v>6.62</v>
      </c>
      <c r="M31" s="349">
        <v>5.77</v>
      </c>
      <c r="N31" s="324">
        <f>tiptop3!G81</f>
        <v>5.3</v>
      </c>
      <c r="O31" s="324">
        <f>tiptop3!H81</f>
        <v>6.69</v>
      </c>
      <c r="P31" s="324">
        <f>tiptop3!I81</f>
        <v>8.2</v>
      </c>
      <c r="Q31" s="310">
        <f>tiptop3!J81</f>
        <v>9.29</v>
      </c>
      <c r="R31" s="184">
        <f>tiptop4!G81</f>
        <v>5.72</v>
      </c>
      <c r="S31" s="184">
        <f>tiptop4!H81</f>
        <v>6.06</v>
      </c>
      <c r="T31" s="184">
        <f>tiptop4!I81</f>
        <v>6.34</v>
      </c>
      <c r="U31" s="191">
        <f>tiptop4!J81</f>
        <v>8.05</v>
      </c>
      <c r="V31" s="8"/>
      <c r="W31" s="8"/>
      <c r="X31" s="8"/>
      <c r="Y31" s="8"/>
      <c r="Z31" s="8"/>
      <c r="AA31" s="8"/>
    </row>
    <row r="32" spans="1:27" ht="20.25">
      <c r="A32" s="17"/>
      <c r="B32" s="19" t="s">
        <v>146</v>
      </c>
      <c r="C32" s="19"/>
      <c r="D32" s="19"/>
      <c r="E32" s="18" t="s">
        <v>269</v>
      </c>
      <c r="F32" s="18" t="s">
        <v>27</v>
      </c>
      <c r="G32" s="349">
        <v>0</v>
      </c>
      <c r="H32" s="309">
        <v>0</v>
      </c>
      <c r="I32" s="309">
        <v>0</v>
      </c>
      <c r="J32" s="349">
        <v>0</v>
      </c>
      <c r="K32" s="309">
        <v>0</v>
      </c>
      <c r="L32" s="310">
        <v>0</v>
      </c>
      <c r="M32" s="349">
        <v>0</v>
      </c>
      <c r="N32" s="324">
        <v>0</v>
      </c>
      <c r="O32" s="324">
        <v>0</v>
      </c>
      <c r="P32" s="324">
        <v>0</v>
      </c>
      <c r="Q32" s="310">
        <v>0</v>
      </c>
      <c r="R32" s="184">
        <f>tiptop4!G83</f>
        <v>0</v>
      </c>
      <c r="S32" s="184">
        <f>tiptop4!H83</f>
        <v>0</v>
      </c>
      <c r="T32" s="184">
        <f>tiptop4!I83</f>
        <v>0</v>
      </c>
      <c r="U32" s="191">
        <f>tiptop4!J83</f>
        <v>0</v>
      </c>
      <c r="V32" s="8"/>
      <c r="W32" s="8"/>
      <c r="X32" s="8"/>
      <c r="Y32" s="8"/>
      <c r="Z32" s="8"/>
      <c r="AA32" s="8"/>
    </row>
    <row r="33" spans="1:27" ht="18.75">
      <c r="A33" s="2" t="s">
        <v>121</v>
      </c>
      <c r="B33" s="8"/>
      <c r="C33" s="8"/>
      <c r="D33" s="8"/>
      <c r="E33" s="3"/>
      <c r="F33" s="3"/>
      <c r="G33" s="354"/>
      <c r="H33" s="309"/>
      <c r="I33" s="309"/>
      <c r="J33" s="349"/>
      <c r="K33" s="309"/>
      <c r="L33" s="310"/>
      <c r="M33" s="349"/>
      <c r="N33" s="324"/>
      <c r="O33" s="324"/>
      <c r="P33" s="324"/>
      <c r="Q33" s="310"/>
      <c r="R33" s="184"/>
      <c r="S33" s="184"/>
      <c r="T33" s="184"/>
      <c r="U33" s="191"/>
      <c r="V33" s="8"/>
      <c r="W33" s="8"/>
      <c r="X33" s="8"/>
      <c r="Y33" s="8"/>
      <c r="Z33" s="8"/>
      <c r="AA33" s="8"/>
    </row>
    <row r="34" spans="1:27" ht="20.25">
      <c r="A34" s="2"/>
      <c r="B34" s="8" t="s">
        <v>235</v>
      </c>
      <c r="C34" s="8"/>
      <c r="D34" s="8"/>
      <c r="E34" s="3" t="s">
        <v>255</v>
      </c>
      <c r="F34" s="18" t="s">
        <v>115</v>
      </c>
      <c r="G34" s="349">
        <v>0.8</v>
      </c>
      <c r="H34" s="309">
        <f>tiptop1!B66</f>
        <v>0.8</v>
      </c>
      <c r="I34" s="309">
        <f>H34</f>
        <v>0.8</v>
      </c>
      <c r="J34" s="349">
        <v>0.8</v>
      </c>
      <c r="K34" s="309">
        <f>tiptop2!B66</f>
        <v>0.8</v>
      </c>
      <c r="L34" s="310">
        <f>K34</f>
        <v>0.8</v>
      </c>
      <c r="M34" s="349">
        <v>0.3</v>
      </c>
      <c r="N34" s="324">
        <f>tiptop3!B66</f>
        <v>0.3</v>
      </c>
      <c r="O34" s="324">
        <f>N34</f>
        <v>0.3</v>
      </c>
      <c r="P34" s="324">
        <f>O34</f>
        <v>0.3</v>
      </c>
      <c r="Q34" s="325">
        <f>P34</f>
        <v>0.3</v>
      </c>
      <c r="R34" s="184">
        <f>tiptop4!B66</f>
        <v>0.37</v>
      </c>
      <c r="S34" s="184">
        <f>R34</f>
        <v>0.37</v>
      </c>
      <c r="T34" s="184">
        <f>S34</f>
        <v>0.37</v>
      </c>
      <c r="U34" s="191">
        <f>T34</f>
        <v>0.37</v>
      </c>
      <c r="V34" s="8"/>
      <c r="W34" s="8"/>
      <c r="X34" s="8"/>
      <c r="Y34" s="8"/>
      <c r="Z34" s="8"/>
      <c r="AA34" s="8"/>
    </row>
    <row r="35" spans="1:27" ht="20.25">
      <c r="A35" s="2"/>
      <c r="B35" s="8" t="s">
        <v>236</v>
      </c>
      <c r="C35" s="8"/>
      <c r="D35" s="8"/>
      <c r="E35" s="3" t="s">
        <v>256</v>
      </c>
      <c r="F35" s="3" t="s">
        <v>27</v>
      </c>
      <c r="G35" s="354">
        <v>0.8</v>
      </c>
      <c r="H35" s="309">
        <f>tiptop1!G84</f>
        <v>0.97</v>
      </c>
      <c r="I35" s="309">
        <f>tiptop1!J84</f>
        <v>0.8</v>
      </c>
      <c r="J35" s="354">
        <v>0.79</v>
      </c>
      <c r="K35" s="309">
        <f>tiptop2!G84</f>
        <v>0.86</v>
      </c>
      <c r="L35" s="310">
        <f>tiptop2!J84</f>
        <v>0.76</v>
      </c>
      <c r="M35" s="349">
        <v>0.46</v>
      </c>
      <c r="N35" s="324">
        <f>tiptop3!G84</f>
        <v>0.9</v>
      </c>
      <c r="O35" s="324">
        <f>tiptop3!H84</f>
        <v>0.45</v>
      </c>
      <c r="P35" s="324">
        <f>tiptop3!I84</f>
        <v>0.34</v>
      </c>
      <c r="Q35" s="310">
        <f>tiptop3!J84</f>
        <v>0.3</v>
      </c>
      <c r="R35" s="184">
        <f>tiptop4!G84</f>
        <v>1.32</v>
      </c>
      <c r="S35" s="184">
        <f>tiptop4!H84</f>
        <v>0.82</v>
      </c>
      <c r="T35" s="184">
        <f>tiptop4!I84</f>
        <v>0.67</v>
      </c>
      <c r="U35" s="191">
        <f>tiptop4!J84</f>
        <v>0.37</v>
      </c>
      <c r="V35" s="8"/>
      <c r="W35" s="8"/>
      <c r="X35" s="8"/>
      <c r="Y35" s="8"/>
      <c r="Z35" s="8"/>
      <c r="AA35" s="8"/>
    </row>
    <row r="36" spans="1:27" ht="20.25">
      <c r="A36" s="17" t="s">
        <v>170</v>
      </c>
      <c r="B36" s="19"/>
      <c r="C36" s="19"/>
      <c r="D36" s="19"/>
      <c r="E36" s="18" t="s">
        <v>257</v>
      </c>
      <c r="F36" s="18" t="s">
        <v>27</v>
      </c>
      <c r="G36" s="349">
        <v>90.5</v>
      </c>
      <c r="H36" s="309">
        <f>tiptop1!G85</f>
        <v>93.6</v>
      </c>
      <c r="I36" s="309">
        <f>tiptop1!J85</f>
        <v>92.1</v>
      </c>
      <c r="J36" s="349">
        <v>92.2</v>
      </c>
      <c r="K36" s="309">
        <f>tiptop2!G85</f>
        <v>94</v>
      </c>
      <c r="L36" s="310">
        <f>tiptop2!J85</f>
        <v>92.6</v>
      </c>
      <c r="M36" s="349">
        <v>93.8</v>
      </c>
      <c r="N36" s="309">
        <f>tiptop3!G85</f>
        <v>93.8</v>
      </c>
      <c r="O36" s="309">
        <f>tiptop3!H85</f>
        <v>92.9</v>
      </c>
      <c r="P36" s="309">
        <f>tiptop3!I85</f>
        <v>91.5</v>
      </c>
      <c r="Q36" s="310">
        <f>tiptop3!J85</f>
        <v>90.4</v>
      </c>
      <c r="R36" s="179">
        <f>tiptop4!G85</f>
        <v>93</v>
      </c>
      <c r="S36" s="179">
        <f>tiptop4!H85</f>
        <v>93.1</v>
      </c>
      <c r="T36" s="179">
        <f>tiptop4!I85</f>
        <v>93</v>
      </c>
      <c r="U36" s="176">
        <f>tiptop4!J85</f>
        <v>91.6</v>
      </c>
      <c r="V36" s="8">
        <f>MAX(R36:U36)</f>
        <v>93.1</v>
      </c>
      <c r="W36" s="8"/>
      <c r="X36" s="8"/>
      <c r="Y36" s="8"/>
      <c r="Z36" s="8"/>
      <c r="AA36" s="8"/>
    </row>
    <row r="37" spans="1:27" ht="21" thickBot="1">
      <c r="A37" s="17" t="s">
        <v>244</v>
      </c>
      <c r="B37" s="19"/>
      <c r="C37" s="19"/>
      <c r="D37" s="19"/>
      <c r="E37" s="18" t="s">
        <v>258</v>
      </c>
      <c r="F37" s="18" t="s">
        <v>27</v>
      </c>
      <c r="G37" s="349">
        <v>157.9</v>
      </c>
      <c r="H37" s="309">
        <f>tiptop1!G86</f>
        <v>152.6</v>
      </c>
      <c r="I37" s="309">
        <f>tiptop1!J86</f>
        <v>155.1</v>
      </c>
      <c r="J37" s="349">
        <v>154.9</v>
      </c>
      <c r="K37" s="309">
        <f>tiptop2!G86</f>
        <v>152</v>
      </c>
      <c r="L37" s="310">
        <f>tiptop2!J86</f>
        <v>154.3</v>
      </c>
      <c r="M37" s="349">
        <v>152.3</v>
      </c>
      <c r="N37" s="324">
        <f>tiptop3!G86</f>
        <v>152.3</v>
      </c>
      <c r="O37" s="324">
        <f>tiptop3!H86</f>
        <v>153.8</v>
      </c>
      <c r="P37" s="324">
        <f>tiptop3!I86</f>
        <v>156.1</v>
      </c>
      <c r="Q37" s="310">
        <f>tiptop3!J86</f>
        <v>158</v>
      </c>
      <c r="R37" s="184">
        <f>tiptop4!G86</f>
        <v>154</v>
      </c>
      <c r="S37" s="184">
        <f>tiptop4!H86</f>
        <v>153</v>
      </c>
      <c r="T37" s="184">
        <f>tiptop4!I86</f>
        <v>154</v>
      </c>
      <c r="U37" s="191">
        <f>tiptop4!J86</f>
        <v>156</v>
      </c>
      <c r="V37" s="8"/>
      <c r="W37" s="8">
        <f>MIN(R36:U36)</f>
        <v>91.6</v>
      </c>
      <c r="X37" s="8"/>
      <c r="Y37" s="8"/>
      <c r="Z37" s="8"/>
      <c r="AA37" s="8"/>
    </row>
    <row r="38" spans="1:27" ht="21" thickTop="1">
      <c r="A38" s="303" t="s">
        <v>171</v>
      </c>
      <c r="B38" s="304"/>
      <c r="C38" s="304"/>
      <c r="D38" s="304"/>
      <c r="E38" s="321" t="s">
        <v>259</v>
      </c>
      <c r="F38" s="321" t="s">
        <v>27</v>
      </c>
      <c r="G38" s="355" t="s">
        <v>163</v>
      </c>
      <c r="H38" s="326">
        <f>ROUND(100000*(H11-H12)*H9/(H19*tiptop1!B68),1)</f>
        <v>93.7</v>
      </c>
      <c r="I38" s="326">
        <f>ROUND(100000*(I11-I12)*I9/(I19*tiptop1!B68),1)</f>
        <v>92</v>
      </c>
      <c r="J38" s="355" t="s">
        <v>163</v>
      </c>
      <c r="K38" s="326">
        <f>ROUND(100000*(K11-K12)*K9/(K19*tiptop2!B68),1)</f>
        <v>94</v>
      </c>
      <c r="L38" s="327">
        <f>ROUND(100000*(L11-L12)*L9/(L19*tiptop2!B68),1)</f>
        <v>93.1</v>
      </c>
      <c r="M38" s="355" t="s">
        <v>163</v>
      </c>
      <c r="N38" s="326">
        <f>ROUND(100000*(N11-N12)*N9/(N19*tiptop3!B68),1)</f>
        <v>93.3</v>
      </c>
      <c r="O38" s="326">
        <f>ROUND(100000*(O11-O12)*O9/(O19*tiptop3!B68),1)</f>
        <v>93.1</v>
      </c>
      <c r="P38" s="326">
        <f>ROUND(100000*(P11-P12)*P9/(P19*tiptop3!B68),1)</f>
        <v>91.1</v>
      </c>
      <c r="Q38" s="327">
        <f>ROUND(100000*(Q11-Q12)*Q9/(Q19*tiptop3!B68),1)</f>
        <v>90.4</v>
      </c>
      <c r="R38" s="305">
        <f>ROUND(100000*(R11-R12)*R9/(R19*tiptop4!B68),1)</f>
        <v>92.3</v>
      </c>
      <c r="S38" s="305">
        <f>ROUND(100000*(S11-S12)*S9/(S19*tiptop4!B68),1)</f>
        <v>90.6</v>
      </c>
      <c r="T38" s="305">
        <f>ROUND(100000*(T11-T12)*T9/(T19*tiptop4!B68),1)</f>
        <v>93.4</v>
      </c>
      <c r="U38" s="306">
        <f>ROUND(100000*(U11-U12)*U9/(U19*tiptop4!B68),1)</f>
        <v>91</v>
      </c>
      <c r="V38" s="8"/>
      <c r="W38" s="8"/>
      <c r="X38" s="8"/>
      <c r="Y38" s="8"/>
      <c r="Z38" s="142"/>
      <c r="AA38" s="142"/>
    </row>
    <row r="39" spans="1:25" ht="20.25">
      <c r="A39" s="170" t="s">
        <v>188</v>
      </c>
      <c r="B39" s="171"/>
      <c r="C39" s="171"/>
      <c r="D39" s="171"/>
      <c r="E39" s="331" t="s">
        <v>260</v>
      </c>
      <c r="F39" s="222" t="s">
        <v>27</v>
      </c>
      <c r="G39" s="356" t="s">
        <v>163</v>
      </c>
      <c r="H39" s="328">
        <f>H38-H36</f>
        <v>0.10000000000000853</v>
      </c>
      <c r="I39" s="328">
        <f>I38-I36</f>
        <v>-0.09999999999999432</v>
      </c>
      <c r="J39" s="356" t="s">
        <v>163</v>
      </c>
      <c r="K39" s="328">
        <f>K38-K36</f>
        <v>0</v>
      </c>
      <c r="L39" s="329">
        <f>L38-L36</f>
        <v>0.5</v>
      </c>
      <c r="M39" s="356" t="s">
        <v>163</v>
      </c>
      <c r="N39" s="328">
        <f aca="true" t="shared" si="1" ref="N39:U39">N38-N36</f>
        <v>-0.5</v>
      </c>
      <c r="O39" s="328">
        <f t="shared" si="1"/>
        <v>0.19999999999998863</v>
      </c>
      <c r="P39" s="328">
        <f t="shared" si="1"/>
        <v>-0.4000000000000057</v>
      </c>
      <c r="Q39" s="329">
        <f t="shared" si="1"/>
        <v>0</v>
      </c>
      <c r="R39" s="250">
        <f t="shared" si="1"/>
        <v>-0.7000000000000028</v>
      </c>
      <c r="S39" s="250">
        <f t="shared" si="1"/>
        <v>-2.5</v>
      </c>
      <c r="T39" s="250">
        <f t="shared" si="1"/>
        <v>0.4000000000000057</v>
      </c>
      <c r="U39" s="251">
        <f t="shared" si="1"/>
        <v>-0.5999999999999943</v>
      </c>
      <c r="V39" s="1"/>
      <c r="W39" s="1"/>
      <c r="X39" s="1"/>
      <c r="Y39" s="1"/>
    </row>
    <row r="40" spans="1:25" ht="18.75">
      <c r="A40" s="24"/>
      <c r="B40" s="24"/>
      <c r="C40" s="24"/>
      <c r="D40" s="24"/>
      <c r="E40" s="24"/>
      <c r="F40" s="24"/>
      <c r="G40" s="24"/>
      <c r="H40" s="199"/>
      <c r="I40" s="155"/>
      <c r="J40" s="155"/>
      <c r="K40" s="155"/>
      <c r="V40" s="1"/>
      <c r="W40" s="1"/>
      <c r="X40" s="1"/>
      <c r="Y40" s="1"/>
    </row>
    <row r="41" spans="1:25" ht="18.75">
      <c r="A41" s="200"/>
      <c r="B41" s="24"/>
      <c r="C41" s="24"/>
      <c r="D41" s="24"/>
      <c r="E41" s="24"/>
      <c r="F41" s="24"/>
      <c r="G41" s="24"/>
      <c r="V41" s="1"/>
      <c r="W41" s="1"/>
      <c r="X41" s="1"/>
      <c r="Y41" s="1"/>
    </row>
    <row r="42" spans="1:25" ht="18.75">
      <c r="A42" s="24"/>
      <c r="B42" s="24"/>
      <c r="C42" s="24"/>
      <c r="D42" s="24"/>
      <c r="E42" s="24"/>
      <c r="F42" s="24"/>
      <c r="G42" s="24"/>
      <c r="H42" s="141"/>
      <c r="I42" s="155"/>
      <c r="J42" s="155"/>
      <c r="K42" s="141"/>
      <c r="V42" s="1"/>
      <c r="W42" s="1"/>
      <c r="X42" s="1"/>
      <c r="Y42" s="1"/>
    </row>
    <row r="43" spans="1:25" ht="18.75">
      <c r="A43" s="24"/>
      <c r="B43" s="24"/>
      <c r="C43" s="24"/>
      <c r="D43" s="24"/>
      <c r="E43" s="183"/>
      <c r="F43" s="183"/>
      <c r="G43" s="183"/>
      <c r="H43" s="155"/>
      <c r="I43" s="21"/>
      <c r="J43" s="21"/>
      <c r="K43" s="184"/>
      <c r="V43" s="1"/>
      <c r="W43" s="1"/>
      <c r="X43" s="1"/>
      <c r="Y43" s="1"/>
    </row>
    <row r="44" spans="1:25" ht="18.75">
      <c r="A44" s="24"/>
      <c r="B44" s="24"/>
      <c r="C44" s="24"/>
      <c r="D44" s="24"/>
      <c r="E44" s="24"/>
      <c r="F44" s="24"/>
      <c r="G44" s="24"/>
      <c r="H44" s="155"/>
      <c r="I44" s="21"/>
      <c r="J44" s="21"/>
      <c r="K44" s="184"/>
      <c r="V44" s="1"/>
      <c r="W44" s="1"/>
      <c r="X44" s="1"/>
      <c r="Y44" s="1"/>
    </row>
    <row r="45" spans="1:25" ht="18.75">
      <c r="A45" s="24"/>
      <c r="B45" s="24"/>
      <c r="C45" s="24"/>
      <c r="D45" s="24"/>
      <c r="E45" s="156"/>
      <c r="F45" s="183"/>
      <c r="G45" s="183"/>
      <c r="H45" s="155"/>
      <c r="I45" s="21"/>
      <c r="J45" s="21"/>
      <c r="K45" s="184"/>
      <c r="V45" s="1"/>
      <c r="W45" s="1"/>
      <c r="X45" s="1"/>
      <c r="Y45" s="1"/>
    </row>
    <row r="46" spans="1:25" ht="18.75">
      <c r="A46" s="24"/>
      <c r="B46" s="24"/>
      <c r="C46" s="24"/>
      <c r="D46" s="24"/>
      <c r="E46" s="156"/>
      <c r="F46" s="183"/>
      <c r="G46" s="183"/>
      <c r="H46" s="155"/>
      <c r="I46" s="21"/>
      <c r="J46" s="21"/>
      <c r="K46" s="184"/>
      <c r="V46" s="1"/>
      <c r="W46" s="1"/>
      <c r="X46" s="1"/>
      <c r="Y46" s="1"/>
    </row>
    <row r="47" spans="1:25" ht="18.75">
      <c r="A47" s="24"/>
      <c r="B47" s="24"/>
      <c r="C47" s="24"/>
      <c r="D47" s="24"/>
      <c r="E47" s="24"/>
      <c r="F47" s="24"/>
      <c r="G47" s="24"/>
      <c r="H47" s="155"/>
      <c r="I47" s="21"/>
      <c r="J47" s="21"/>
      <c r="K47" s="184"/>
      <c r="V47" s="1"/>
      <c r="W47" s="1"/>
      <c r="X47" s="1"/>
      <c r="Y47" s="1"/>
    </row>
    <row r="48" spans="1:25" ht="18.75">
      <c r="A48" s="24"/>
      <c r="B48" s="24"/>
      <c r="C48" s="24"/>
      <c r="D48" s="24"/>
      <c r="E48" s="156"/>
      <c r="F48" s="183"/>
      <c r="G48" s="183"/>
      <c r="H48" s="155"/>
      <c r="I48" s="21"/>
      <c r="J48" s="21"/>
      <c r="K48" s="184"/>
      <c r="V48" s="1"/>
      <c r="W48" s="1"/>
      <c r="X48" s="1"/>
      <c r="Y48" s="1"/>
    </row>
    <row r="49" spans="1:25" ht="18.75">
      <c r="A49" s="24"/>
      <c r="B49" s="24"/>
      <c r="C49" s="24"/>
      <c r="D49" s="24"/>
      <c r="E49" s="156"/>
      <c r="F49" s="183"/>
      <c r="G49" s="183"/>
      <c r="H49" s="155"/>
      <c r="I49" s="21"/>
      <c r="J49" s="21"/>
      <c r="K49" s="184"/>
      <c r="V49" s="1"/>
      <c r="W49" s="1"/>
      <c r="X49" s="1"/>
      <c r="Y49" s="1"/>
    </row>
    <row r="50" spans="1:25" ht="18.75">
      <c r="A50" s="24"/>
      <c r="B50" s="24"/>
      <c r="C50" s="24"/>
      <c r="D50" s="24"/>
      <c r="E50" s="24"/>
      <c r="F50" s="24"/>
      <c r="G50" s="24"/>
      <c r="H50" s="155"/>
      <c r="I50" s="21"/>
      <c r="J50" s="21"/>
      <c r="K50" s="184"/>
      <c r="V50" s="1"/>
      <c r="W50" s="1"/>
      <c r="X50" s="1"/>
      <c r="Y50" s="1"/>
    </row>
    <row r="51" spans="1:25" ht="18.75">
      <c r="A51" s="24"/>
      <c r="B51" s="24"/>
      <c r="C51" s="24"/>
      <c r="D51" s="24"/>
      <c r="E51" s="188"/>
      <c r="F51" s="183"/>
      <c r="G51" s="183"/>
      <c r="H51" s="155"/>
      <c r="I51" s="21"/>
      <c r="J51" s="21"/>
      <c r="K51" s="184"/>
      <c r="L51" s="198">
        <v>2.3</v>
      </c>
      <c r="M51" s="198"/>
      <c r="N51" s="198"/>
      <c r="O51" s="189" t="s">
        <v>120</v>
      </c>
      <c r="V51" s="1"/>
      <c r="W51" s="1"/>
      <c r="X51" s="1"/>
      <c r="Y51" s="1"/>
    </row>
    <row r="52" spans="1:25" ht="18.75">
      <c r="A52" s="24"/>
      <c r="B52" s="24"/>
      <c r="C52" s="24"/>
      <c r="D52" s="24"/>
      <c r="E52" s="188"/>
      <c r="F52" s="183"/>
      <c r="G52" s="183"/>
      <c r="H52" s="155"/>
      <c r="I52" s="21"/>
      <c r="J52" s="21"/>
      <c r="K52" s="184"/>
      <c r="V52" s="1"/>
      <c r="W52" s="1"/>
      <c r="X52" s="1"/>
      <c r="Y52" s="1"/>
    </row>
    <row r="53" spans="1:25" ht="18.75">
      <c r="A53" s="24"/>
      <c r="B53" s="24"/>
      <c r="C53" s="24"/>
      <c r="D53" s="24"/>
      <c r="E53" s="188"/>
      <c r="F53" s="183"/>
      <c r="G53" s="183"/>
      <c r="H53" s="155"/>
      <c r="I53" s="21"/>
      <c r="J53" s="21"/>
      <c r="K53" s="184"/>
      <c r="O53" s="26" t="e">
        <f>(H7+L7-#REF!)/(H7+L7)</f>
        <v>#REF!</v>
      </c>
      <c r="P53" s="26" t="e">
        <f>(I7+#REF!-K53)/(I7+#REF!)</f>
        <v>#REF!</v>
      </c>
      <c r="V53" s="1"/>
      <c r="W53" s="1"/>
      <c r="X53" s="1"/>
      <c r="Y53" s="1"/>
    </row>
    <row r="54" spans="1:11" ht="18.75">
      <c r="A54" s="24"/>
      <c r="B54" s="24"/>
      <c r="C54" s="24"/>
      <c r="D54" s="24"/>
      <c r="E54" s="190"/>
      <c r="F54" s="183"/>
      <c r="G54" s="183"/>
      <c r="H54" s="155"/>
      <c r="I54" s="26"/>
      <c r="J54" s="26"/>
      <c r="K54" s="179"/>
    </row>
    <row r="55" spans="1:11" ht="18.75">
      <c r="A55" s="24"/>
      <c r="B55" s="24"/>
      <c r="C55" s="24"/>
      <c r="D55" s="24"/>
      <c r="E55" s="24"/>
      <c r="F55" s="24"/>
      <c r="G55" s="24"/>
      <c r="H55" s="155"/>
      <c r="I55" s="21"/>
      <c r="J55" s="21"/>
      <c r="K55" s="184"/>
    </row>
    <row r="56" spans="1:11" ht="18.75">
      <c r="A56" s="24"/>
      <c r="B56" s="24"/>
      <c r="C56" s="24"/>
      <c r="D56" s="24"/>
      <c r="E56" s="201"/>
      <c r="F56" s="183"/>
      <c r="G56" s="183"/>
      <c r="H56" s="155"/>
      <c r="I56" s="26"/>
      <c r="J56" s="26"/>
      <c r="K56" s="179"/>
    </row>
    <row r="57" spans="1:11" ht="18.75">
      <c r="A57" s="182"/>
      <c r="B57" s="182"/>
      <c r="C57" s="182"/>
      <c r="D57" s="182"/>
      <c r="E57" s="182"/>
      <c r="F57" s="182"/>
      <c r="G57" s="182"/>
      <c r="H57" s="155"/>
      <c r="I57" s="155"/>
      <c r="J57" s="155"/>
      <c r="K57" s="155"/>
    </row>
    <row r="62" spans="1:7" ht="18.75">
      <c r="A62" s="1"/>
      <c r="B62" s="1"/>
      <c r="C62" s="1"/>
      <c r="D62" s="1"/>
      <c r="E62" s="1"/>
      <c r="F62" s="1"/>
      <c r="G62" s="1"/>
    </row>
    <row r="63" spans="1:7" ht="18.75">
      <c r="A63" s="1"/>
      <c r="B63" s="1"/>
      <c r="C63" s="1"/>
      <c r="D63" s="1"/>
      <c r="E63" s="1"/>
      <c r="F63" s="1"/>
      <c r="G63" s="1"/>
    </row>
    <row r="64" spans="1:7" ht="18.75">
      <c r="A64" s="1"/>
      <c r="B64" s="1"/>
      <c r="C64" s="1"/>
      <c r="D64" s="1"/>
      <c r="E64" s="1"/>
      <c r="F64" s="1"/>
      <c r="G64" s="1"/>
    </row>
  </sheetData>
  <mergeCells count="1">
    <mergeCell ref="R6:U6"/>
  </mergeCells>
  <printOptions horizontalCentered="1"/>
  <pageMargins left="0.7874015748031497" right="0.1968503937007874" top="1.5748031496062993" bottom="0.3937007874015748" header="0.5118110236220472" footer="0.5118110236220472"/>
  <pageSetup fitToHeight="1" fitToWidth="1" horizontalDpi="600" verticalDpi="600" orientation="portrait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81"/>
  <sheetViews>
    <sheetView showGridLines="0" zoomScale="75" zoomScaleNormal="75" zoomScaleSheetLayoutView="75" workbookViewId="0" topLeftCell="A40">
      <selection activeCell="K138" sqref="K138"/>
    </sheetView>
  </sheetViews>
  <sheetFormatPr defaultColWidth="9.00390625" defaultRowHeight="12.75"/>
  <cols>
    <col min="1" max="1" width="11.00390625" style="1" customWidth="1"/>
    <col min="2" max="2" width="18.00390625" style="1" customWidth="1"/>
    <col min="3" max="3" width="23.625" style="1" customWidth="1"/>
    <col min="4" max="5" width="8.75390625" style="1" customWidth="1"/>
    <col min="6" max="16384" width="9.125" style="1" customWidth="1"/>
  </cols>
  <sheetData>
    <row r="1" spans="2:5" ht="18.75" customHeight="1">
      <c r="B1"/>
      <c r="C1"/>
      <c r="D1" s="22" t="s">
        <v>147</v>
      </c>
      <c r="E1"/>
    </row>
    <row r="2" spans="4:6" ht="18.75" customHeight="1">
      <c r="D2" s="11"/>
      <c r="F2" s="22" t="s">
        <v>317</v>
      </c>
    </row>
    <row r="3" spans="2:6" ht="18.75" customHeight="1">
      <c r="B3" s="22"/>
      <c r="E3" s="22"/>
      <c r="F3" s="22" t="s">
        <v>346</v>
      </c>
    </row>
    <row r="4" spans="2:6" ht="18.75" customHeight="1">
      <c r="B4" s="23"/>
      <c r="C4" s="22"/>
      <c r="F4" s="15" t="s">
        <v>347</v>
      </c>
    </row>
    <row r="5" spans="1:3" ht="18.75" customHeight="1">
      <c r="A5" s="237"/>
      <c r="B5" s="40"/>
      <c r="C5" s="22"/>
    </row>
    <row r="6" spans="2:6" ht="18.75" customHeight="1">
      <c r="B6" s="43"/>
      <c r="C6" s="8"/>
      <c r="D6" s="25"/>
      <c r="E6" s="25"/>
      <c r="F6" s="12" t="s">
        <v>281</v>
      </c>
    </row>
    <row r="7" spans="2:3" ht="18.75" customHeight="1">
      <c r="B7" s="43"/>
      <c r="C7" s="8"/>
    </row>
    <row r="8" spans="2:5" ht="18.75" customHeight="1">
      <c r="B8" s="43"/>
      <c r="C8" s="43"/>
      <c r="D8" s="43"/>
      <c r="E8" s="12"/>
    </row>
    <row r="9" ht="18.75" customHeight="1">
      <c r="D9" s="8"/>
    </row>
    <row r="10" ht="18.75" customHeight="1">
      <c r="C10" s="234" t="s">
        <v>153</v>
      </c>
    </row>
    <row r="11" ht="18.75" customHeight="1">
      <c r="C11" s="234" t="s">
        <v>314</v>
      </c>
    </row>
    <row r="12" spans="1:3" ht="18.75" customHeight="1">
      <c r="A12" s="137"/>
      <c r="C12" s="11" t="s">
        <v>348</v>
      </c>
    </row>
    <row r="13" ht="18.75" customHeight="1">
      <c r="B13" s="137"/>
    </row>
    <row r="14" spans="1:5" ht="27" customHeight="1">
      <c r="A14" s="461" t="s">
        <v>33</v>
      </c>
      <c r="B14" s="462"/>
      <c r="C14" s="463"/>
      <c r="D14" s="380" t="s">
        <v>325</v>
      </c>
      <c r="E14" s="293"/>
    </row>
    <row r="15" spans="1:5" ht="27" customHeight="1">
      <c r="A15" s="464"/>
      <c r="B15" s="465"/>
      <c r="C15" s="466"/>
      <c r="D15" s="381" t="s">
        <v>322</v>
      </c>
      <c r="E15" s="381" t="s">
        <v>324</v>
      </c>
    </row>
    <row r="16" spans="1:20" ht="18.75">
      <c r="A16" s="467"/>
      <c r="B16" s="468"/>
      <c r="C16" s="469"/>
      <c r="D16" s="382" t="s">
        <v>323</v>
      </c>
      <c r="E16" s="383" t="s">
        <v>323</v>
      </c>
      <c r="Q16" s="285"/>
      <c r="R16" s="285"/>
      <c r="S16" s="285"/>
      <c r="T16" s="285"/>
    </row>
    <row r="17" spans="1:5" ht="18.75">
      <c r="A17" s="296" t="s">
        <v>196</v>
      </c>
      <c r="B17" s="296"/>
      <c r="C17" s="2"/>
      <c r="D17" s="217">
        <f>Сводная!H7</f>
        <v>0.092</v>
      </c>
      <c r="E17" s="218">
        <f>Сводная!I7</f>
        <v>0.128</v>
      </c>
    </row>
    <row r="18" spans="1:5" ht="18.75">
      <c r="A18" s="296" t="s">
        <v>179</v>
      </c>
      <c r="B18" s="296"/>
      <c r="C18" s="2"/>
      <c r="D18" s="217">
        <f>Сводная!H9</f>
        <v>10</v>
      </c>
      <c r="E18" s="218">
        <f>Сводная!I9</f>
        <v>10</v>
      </c>
    </row>
    <row r="19" spans="1:5" ht="18.75">
      <c r="A19" s="17" t="s">
        <v>204</v>
      </c>
      <c r="B19" s="19"/>
      <c r="C19" s="226" t="s">
        <v>49</v>
      </c>
      <c r="D19" s="217">
        <f>Сводная!H11</f>
        <v>64.2</v>
      </c>
      <c r="E19" s="218">
        <f>Сводная!I11</f>
        <v>72.8</v>
      </c>
    </row>
    <row r="20" spans="1:5" ht="18.75">
      <c r="A20" s="17"/>
      <c r="B20" s="8"/>
      <c r="C20" s="226" t="s">
        <v>50</v>
      </c>
      <c r="D20" s="217">
        <f>ROUND(Сводная!H12,0)</f>
        <v>55</v>
      </c>
      <c r="E20" s="218">
        <f>ROUND(Сводная!I12,0)</f>
        <v>60</v>
      </c>
    </row>
    <row r="21" spans="1:5" ht="22.5">
      <c r="A21" s="17" t="s">
        <v>157</v>
      </c>
      <c r="B21" s="8"/>
      <c r="C21" s="226"/>
      <c r="D21" s="217">
        <f>Сводная!H13</f>
        <v>2.5</v>
      </c>
      <c r="E21" s="218">
        <f>Сводная!I13</f>
        <v>2.6</v>
      </c>
    </row>
    <row r="22" spans="1:5" ht="18.75">
      <c r="A22" s="2" t="s">
        <v>17</v>
      </c>
      <c r="B22" s="8"/>
      <c r="C22" s="226"/>
      <c r="D22" s="233"/>
      <c r="E22" s="232" t="str">
        <f>Сводная!H15</f>
        <v>Природный газ  ГОСТ 5542-87</v>
      </c>
    </row>
    <row r="23" spans="1:5" ht="22.5">
      <c r="A23" s="17" t="s">
        <v>326</v>
      </c>
      <c r="B23" s="8"/>
      <c r="C23" s="226"/>
      <c r="D23" s="459">
        <f>Сводная!J16</f>
        <v>8182</v>
      </c>
      <c r="E23" s="460"/>
    </row>
    <row r="24" spans="1:13" ht="18.75">
      <c r="A24" s="2" t="s">
        <v>290</v>
      </c>
      <c r="B24" s="8"/>
      <c r="C24" s="226"/>
      <c r="D24" s="217">
        <f>Сводная!H17</f>
        <v>1.8</v>
      </c>
      <c r="E24" s="218">
        <f>Сводная!I17</f>
        <v>1.6</v>
      </c>
      <c r="G24" s="17" t="s">
        <v>181</v>
      </c>
      <c r="H24" s="8"/>
      <c r="I24" s="226"/>
      <c r="J24" s="217" t="e">
        <f>Сводная!#REF!</f>
        <v>#REF!</v>
      </c>
      <c r="K24" s="3" t="e">
        <f>Сводная!#REF!</f>
        <v>#REF!</v>
      </c>
      <c r="L24" s="3" t="e">
        <f>Сводная!#REF!</f>
        <v>#REF!</v>
      </c>
      <c r="M24" s="218" t="e">
        <f>Сводная!#REF!</f>
        <v>#REF!</v>
      </c>
    </row>
    <row r="25" spans="1:5" ht="18.75">
      <c r="A25" s="17" t="s">
        <v>316</v>
      </c>
      <c r="B25" s="8"/>
      <c r="C25" s="226"/>
      <c r="D25" s="217">
        <f>Сводная!H18</f>
        <v>122</v>
      </c>
      <c r="E25" s="218">
        <f>Сводная!I18</f>
        <v>116</v>
      </c>
    </row>
    <row r="26" spans="1:5" ht="22.5">
      <c r="A26" s="2" t="s">
        <v>272</v>
      </c>
      <c r="B26" s="8"/>
      <c r="C26" s="226"/>
      <c r="D26" s="217">
        <f>Сводная!H19</f>
        <v>12</v>
      </c>
      <c r="E26" s="218">
        <f>Сводная!I19</f>
        <v>17</v>
      </c>
    </row>
    <row r="27" spans="1:13" ht="18.75">
      <c r="A27" s="2" t="s">
        <v>112</v>
      </c>
      <c r="B27" s="8"/>
      <c r="C27" s="226"/>
      <c r="D27" s="219">
        <f>Сводная!H21</f>
        <v>15</v>
      </c>
      <c r="E27" s="220">
        <f>Сводная!I21</f>
        <v>15</v>
      </c>
      <c r="G27" s="2" t="s">
        <v>182</v>
      </c>
      <c r="H27" s="8"/>
      <c r="I27" s="226"/>
      <c r="J27" s="217" t="e">
        <f>Сводная!#REF!</f>
        <v>#REF!</v>
      </c>
      <c r="K27" s="3" t="e">
        <f>Сводная!#REF!</f>
        <v>#REF!</v>
      </c>
      <c r="L27" s="3" t="e">
        <f>Сводная!#REF!</f>
        <v>#REF!</v>
      </c>
      <c r="M27" s="218" t="e">
        <f>Сводная!#REF!</f>
        <v>#REF!</v>
      </c>
    </row>
    <row r="28" spans="1:5" ht="18.75">
      <c r="A28" s="2" t="s">
        <v>230</v>
      </c>
      <c r="B28" s="8"/>
      <c r="C28" s="226"/>
      <c r="D28" s="219">
        <f>Сводная!H22</f>
        <v>120</v>
      </c>
      <c r="E28" s="220">
        <f>Сводная!I22</f>
        <v>160</v>
      </c>
    </row>
    <row r="29" spans="1:5" ht="18.75">
      <c r="A29" s="2" t="s">
        <v>183</v>
      </c>
      <c r="B29" s="8"/>
      <c r="C29" s="226"/>
      <c r="D29" s="219"/>
      <c r="E29" s="220"/>
    </row>
    <row r="30" spans="1:5" ht="20.25">
      <c r="A30" s="2"/>
      <c r="B30" s="8" t="s">
        <v>35</v>
      </c>
      <c r="C30" s="226" t="s">
        <v>273</v>
      </c>
      <c r="D30" s="219">
        <f>Сводная!H24</f>
        <v>4.9</v>
      </c>
      <c r="E30" s="220">
        <f>Сводная!I24</f>
        <v>3.8</v>
      </c>
    </row>
    <row r="31" spans="1:5" ht="18.75">
      <c r="A31" s="2"/>
      <c r="B31" s="15" t="s">
        <v>198</v>
      </c>
      <c r="C31" s="226" t="s">
        <v>116</v>
      </c>
      <c r="D31" s="217">
        <f>Сводная!H25</f>
        <v>0</v>
      </c>
      <c r="E31" s="218">
        <f>Сводная!I25</f>
        <v>0</v>
      </c>
    </row>
    <row r="32" spans="1:5" ht="20.25">
      <c r="A32" s="2"/>
      <c r="B32" s="8" t="s">
        <v>37</v>
      </c>
      <c r="C32" s="226" t="s">
        <v>274</v>
      </c>
      <c r="D32" s="219">
        <f>Сводная!H26</f>
        <v>9.03</v>
      </c>
      <c r="E32" s="220">
        <f>Сводная!I26</f>
        <v>9.65</v>
      </c>
    </row>
    <row r="33" spans="1:5" ht="18.75">
      <c r="A33" s="2" t="s">
        <v>129</v>
      </c>
      <c r="B33" s="8"/>
      <c r="C33" s="226"/>
      <c r="D33" s="219">
        <f>Сводная!H27</f>
        <v>1.27</v>
      </c>
      <c r="E33" s="220">
        <f>Сводная!I27</f>
        <v>1.2</v>
      </c>
    </row>
    <row r="34" spans="1:5" ht="18.75">
      <c r="A34" s="2" t="s">
        <v>30</v>
      </c>
      <c r="B34" s="8"/>
      <c r="C34" s="226"/>
      <c r="D34" s="219"/>
      <c r="E34" s="220"/>
    </row>
    <row r="35" spans="1:5" ht="18.75">
      <c r="A35" s="2"/>
      <c r="B35" s="8" t="s">
        <v>31</v>
      </c>
      <c r="C35" s="226"/>
      <c r="D35" s="219">
        <f>Сводная!H31</f>
        <v>5.41</v>
      </c>
      <c r="E35" s="220">
        <f>Сводная!I31</f>
        <v>7.07</v>
      </c>
    </row>
    <row r="36" spans="1:5" ht="18.75">
      <c r="A36" s="2"/>
      <c r="B36" s="8" t="s">
        <v>234</v>
      </c>
      <c r="C36" s="226"/>
      <c r="D36" s="219">
        <f>Сводная!H32</f>
        <v>0</v>
      </c>
      <c r="E36" s="220">
        <f>Сводная!I32</f>
        <v>0</v>
      </c>
    </row>
    <row r="37" spans="1:5" ht="18.75">
      <c r="A37" s="2"/>
      <c r="B37" s="8" t="s">
        <v>38</v>
      </c>
      <c r="C37" s="226"/>
      <c r="D37" s="219">
        <f>Сводная!H35</f>
        <v>0.97</v>
      </c>
      <c r="E37" s="220">
        <f>Сводная!I35</f>
        <v>0.8</v>
      </c>
    </row>
    <row r="38" spans="1:5" ht="18.75">
      <c r="A38" s="2" t="s">
        <v>32</v>
      </c>
      <c r="B38" s="8"/>
      <c r="C38" s="226"/>
      <c r="D38" s="219">
        <f>Сводная!H36</f>
        <v>93.6</v>
      </c>
      <c r="E38" s="220">
        <f>Сводная!I36</f>
        <v>92.1</v>
      </c>
    </row>
    <row r="39" spans="1:5" ht="18.75">
      <c r="A39" s="170" t="s">
        <v>184</v>
      </c>
      <c r="B39" s="9"/>
      <c r="C39" s="253"/>
      <c r="D39" s="364">
        <f>tiptop1!G86</f>
        <v>152.6</v>
      </c>
      <c r="E39" s="365">
        <f>tiptop1!J86</f>
        <v>155.1</v>
      </c>
    </row>
    <row r="40" spans="1:5" ht="18.75">
      <c r="A40" s="228"/>
      <c r="B40" s="197"/>
      <c r="C40" s="197"/>
      <c r="D40" s="229"/>
      <c r="E40" s="229"/>
    </row>
    <row r="41" spans="1:5" ht="18.75">
      <c r="A41" s="1" t="s">
        <v>343</v>
      </c>
      <c r="B41" s="240"/>
      <c r="C41" s="240"/>
      <c r="D41" s="10"/>
      <c r="E41" s="228"/>
    </row>
    <row r="43" spans="5:6" ht="18.75">
      <c r="E43" s="25"/>
      <c r="F43" s="357" t="s">
        <v>281</v>
      </c>
    </row>
    <row r="44" spans="2:44" ht="18.75">
      <c r="B44"/>
      <c r="C44"/>
      <c r="D44"/>
      <c r="E44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</row>
    <row r="45" spans="2:44" ht="18.75">
      <c r="B45"/>
      <c r="C45"/>
      <c r="D45" s="22" t="s">
        <v>147</v>
      </c>
      <c r="E45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</row>
    <row r="46" spans="2:44" ht="18.75">
      <c r="B46" s="22"/>
      <c r="D46" s="11"/>
      <c r="F46" s="22" t="s">
        <v>317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</row>
    <row r="47" spans="2:44" ht="18.75">
      <c r="B47" s="23"/>
      <c r="E47" s="22"/>
      <c r="F47" s="22" t="s">
        <v>346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</row>
    <row r="48" spans="1:44" ht="18.75">
      <c r="A48" s="237"/>
      <c r="B48" s="40"/>
      <c r="C48" s="22"/>
      <c r="F48" s="15" t="s">
        <v>347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</row>
    <row r="49" spans="2:44" ht="18.75">
      <c r="B49" s="43"/>
      <c r="C49" s="2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</row>
    <row r="50" spans="2:44" ht="18.75">
      <c r="B50" s="43"/>
      <c r="C50" s="8"/>
      <c r="D50" s="25"/>
      <c r="E50" s="25"/>
      <c r="F50" s="12" t="s">
        <v>281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</row>
    <row r="51" spans="2:44" ht="18.75">
      <c r="B51" s="43"/>
      <c r="C51" s="43"/>
      <c r="D51" s="43"/>
      <c r="E51" s="4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</row>
    <row r="52" spans="4:44" ht="18.75">
      <c r="D52" s="8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</row>
    <row r="53" spans="3:44" ht="18.75">
      <c r="C53" s="234" t="s">
        <v>153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</row>
    <row r="54" spans="3:44" ht="18.75">
      <c r="C54" s="234" t="s">
        <v>315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</row>
    <row r="55" spans="1:44" ht="18.75">
      <c r="A55" s="137"/>
      <c r="C55" s="11" t="s">
        <v>348</v>
      </c>
      <c r="F55" s="12"/>
      <c r="G55" s="24"/>
      <c r="H55" s="24"/>
      <c r="I55" s="24"/>
      <c r="J55" s="24"/>
      <c r="K55" s="24"/>
      <c r="L55" s="24"/>
      <c r="M55" s="24"/>
      <c r="N55" s="24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</row>
    <row r="56" spans="2:44" ht="18.75">
      <c r="B56" s="137"/>
      <c r="F56" s="12"/>
      <c r="G56" s="24"/>
      <c r="H56" s="8"/>
      <c r="I56" s="8"/>
      <c r="J56" s="13"/>
      <c r="K56" s="24"/>
      <c r="L56" s="24"/>
      <c r="M56" s="24"/>
      <c r="N56" s="24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</row>
    <row r="57" spans="1:44" ht="18.75">
      <c r="A57" s="461" t="s">
        <v>33</v>
      </c>
      <c r="B57" s="462"/>
      <c r="C57" s="463"/>
      <c r="D57" s="380" t="s">
        <v>325</v>
      </c>
      <c r="E57" s="293"/>
      <c r="F57" s="12"/>
      <c r="G57" s="24"/>
      <c r="H57" s="8"/>
      <c r="I57" s="252"/>
      <c r="J57" s="13"/>
      <c r="K57" s="24"/>
      <c r="L57" s="24"/>
      <c r="M57" s="24"/>
      <c r="N57" s="24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</row>
    <row r="58" spans="1:44" ht="18.75">
      <c r="A58" s="464"/>
      <c r="B58" s="465"/>
      <c r="C58" s="466"/>
      <c r="D58" s="381" t="s">
        <v>322</v>
      </c>
      <c r="E58" s="381" t="s">
        <v>324</v>
      </c>
      <c r="F58" s="12"/>
      <c r="G58" s="24"/>
      <c r="H58" s="8"/>
      <c r="I58" s="252"/>
      <c r="J58" s="13"/>
      <c r="K58" s="24"/>
      <c r="L58" s="24"/>
      <c r="M58" s="24"/>
      <c r="N58" s="24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</row>
    <row r="59" spans="1:44" ht="18.75">
      <c r="A59" s="467"/>
      <c r="B59" s="468"/>
      <c r="C59" s="469"/>
      <c r="D59" s="382" t="s">
        <v>323</v>
      </c>
      <c r="E59" s="383" t="s">
        <v>323</v>
      </c>
      <c r="F59" s="12"/>
      <c r="G59" s="295" t="s">
        <v>270</v>
      </c>
      <c r="H59" s="278"/>
      <c r="I59" s="278"/>
      <c r="J59" s="289" t="str">
        <f>Сводная!K6</f>
        <v>м.г.</v>
      </c>
      <c r="K59" s="279" t="e">
        <f>Сводная!#REF!</f>
        <v>#REF!</v>
      </c>
      <c r="L59" s="279" t="e">
        <f>Сводная!#REF!</f>
        <v>#REF!</v>
      </c>
      <c r="M59" s="280" t="str">
        <f>Сводная!L6</f>
        <v>Б.г.</v>
      </c>
      <c r="N59" s="24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</row>
    <row r="60" spans="1:44" ht="18.75">
      <c r="A60" s="2" t="s">
        <v>196</v>
      </c>
      <c r="B60" s="8"/>
      <c r="C60" s="226"/>
      <c r="D60" s="217">
        <f>Сводная!K7</f>
        <v>0.1</v>
      </c>
      <c r="E60" s="218">
        <f>Сводная!L7</f>
        <v>0.127</v>
      </c>
      <c r="G60" s="24"/>
      <c r="H60" s="12"/>
      <c r="I60" s="12"/>
      <c r="N60" s="24"/>
      <c r="O60" s="12"/>
      <c r="P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</row>
    <row r="61" spans="1:44" ht="18.75">
      <c r="A61" s="2" t="s">
        <v>179</v>
      </c>
      <c r="B61" s="8"/>
      <c r="C61" s="226"/>
      <c r="D61" s="217">
        <f>Сводная!K9</f>
        <v>8</v>
      </c>
      <c r="E61" s="218">
        <f>Сводная!L9</f>
        <v>8</v>
      </c>
      <c r="G61" s="24"/>
      <c r="H61" s="12"/>
      <c r="I61" s="12"/>
      <c r="N61" s="24"/>
      <c r="O61" s="12"/>
      <c r="P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</row>
    <row r="62" spans="1:44" ht="18.75">
      <c r="A62" s="17" t="s">
        <v>204</v>
      </c>
      <c r="B62" s="19"/>
      <c r="C62" s="8" t="s">
        <v>49</v>
      </c>
      <c r="D62" s="217">
        <f>Сводная!K11</f>
        <v>67.5</v>
      </c>
      <c r="E62" s="218">
        <f>Сводная!L11</f>
        <v>75.9</v>
      </c>
      <c r="G62" s="24"/>
      <c r="H62" s="12"/>
      <c r="I62" s="12"/>
      <c r="N62" s="24"/>
      <c r="O62" s="12"/>
      <c r="P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</row>
    <row r="63" spans="1:44" ht="18.75">
      <c r="A63" s="17"/>
      <c r="C63" s="8" t="s">
        <v>50</v>
      </c>
      <c r="D63" s="217">
        <f>ROUND(Сводная!K12,0)</f>
        <v>55</v>
      </c>
      <c r="E63" s="218">
        <f>ROUND(Сводная!L12,0)</f>
        <v>60</v>
      </c>
      <c r="G63" s="24"/>
      <c r="H63" s="12"/>
      <c r="I63" s="12"/>
      <c r="N63" s="24"/>
      <c r="O63" s="12"/>
      <c r="P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</row>
    <row r="64" spans="1:44" ht="22.5">
      <c r="A64" s="17" t="s">
        <v>157</v>
      </c>
      <c r="B64" s="8"/>
      <c r="C64" s="226"/>
      <c r="D64" s="217">
        <f>Сводная!K13</f>
        <v>2.5</v>
      </c>
      <c r="E64" s="218">
        <f>Сводная!L13</f>
        <v>2.6</v>
      </c>
      <c r="G64" s="24"/>
      <c r="H64" s="12"/>
      <c r="I64" s="12"/>
      <c r="N64" s="24"/>
      <c r="O64" s="12"/>
      <c r="P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</row>
    <row r="65" spans="1:44" ht="18.75">
      <c r="A65" s="2" t="s">
        <v>17</v>
      </c>
      <c r="B65" s="8"/>
      <c r="C65" s="226"/>
      <c r="D65" s="233"/>
      <c r="E65" s="232" t="str">
        <f>Сводная!H15</f>
        <v>Природный газ  ГОСТ 5542-87</v>
      </c>
      <c r="G65" s="24"/>
      <c r="H65" s="12"/>
      <c r="I65" s="12"/>
      <c r="N65" s="24"/>
      <c r="O65" s="12"/>
      <c r="P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</row>
    <row r="66" spans="1:44" ht="22.5">
      <c r="A66" s="17" t="s">
        <v>326</v>
      </c>
      <c r="B66" s="8"/>
      <c r="C66" s="226"/>
      <c r="D66" s="459">
        <f>Сводная!J16</f>
        <v>8182</v>
      </c>
      <c r="E66" s="460"/>
      <c r="O66" s="12"/>
      <c r="P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</row>
    <row r="67" spans="1:44" ht="18.75">
      <c r="A67" s="2" t="s">
        <v>290</v>
      </c>
      <c r="B67" s="8"/>
      <c r="C67" s="226"/>
      <c r="D67" s="217">
        <f>Сводная!K17</f>
        <v>1.8</v>
      </c>
      <c r="E67" s="218">
        <f>Сводная!L17</f>
        <v>1.6</v>
      </c>
      <c r="O67" s="12"/>
      <c r="P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</row>
    <row r="68" spans="1:44" ht="18.75">
      <c r="A68" s="17" t="s">
        <v>316</v>
      </c>
      <c r="B68" s="8"/>
      <c r="C68" s="226"/>
      <c r="D68" s="217">
        <f>Сводная!K18</f>
        <v>120</v>
      </c>
      <c r="E68" s="218">
        <f>Сводная!L18</f>
        <v>110</v>
      </c>
      <c r="G68" s="17" t="s">
        <v>181</v>
      </c>
      <c r="H68" s="8"/>
      <c r="I68" s="226"/>
      <c r="J68" s="217" t="e">
        <f>Сводная!#REF!</f>
        <v>#REF!</v>
      </c>
      <c r="K68" s="218" t="e">
        <f>Сводная!#REF!</f>
        <v>#REF!</v>
      </c>
      <c r="O68" s="12"/>
      <c r="P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</row>
    <row r="69" spans="1:44" ht="22.5">
      <c r="A69" s="2" t="s">
        <v>272</v>
      </c>
      <c r="B69" s="8"/>
      <c r="C69" s="226"/>
      <c r="D69" s="217">
        <f>Сводная!K19</f>
        <v>13</v>
      </c>
      <c r="E69" s="218">
        <f>Сводная!L19</f>
        <v>16.7</v>
      </c>
      <c r="G69" s="24"/>
      <c r="H69" s="12"/>
      <c r="I69" s="12"/>
      <c r="N69" s="24"/>
      <c r="O69" s="12"/>
      <c r="P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</row>
    <row r="70" spans="1:44" ht="18.75">
      <c r="A70" s="2" t="s">
        <v>112</v>
      </c>
      <c r="B70" s="8"/>
      <c r="C70" s="226"/>
      <c r="D70" s="219">
        <f>Сводная!K21</f>
        <v>15</v>
      </c>
      <c r="E70" s="220">
        <f>Сводная!L21</f>
        <v>15</v>
      </c>
      <c r="G70" s="2" t="s">
        <v>182</v>
      </c>
      <c r="H70" s="8"/>
      <c r="I70" s="226"/>
      <c r="J70" s="217" t="e">
        <f>Сводная!#REF!</f>
        <v>#REF!</v>
      </c>
      <c r="K70" s="218" t="e">
        <f>Сводная!#REF!</f>
        <v>#REF!</v>
      </c>
      <c r="N70" s="24"/>
      <c r="O70" s="12"/>
      <c r="P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</row>
    <row r="71" spans="1:44" ht="18.75">
      <c r="A71" s="2" t="s">
        <v>230</v>
      </c>
      <c r="B71" s="8"/>
      <c r="C71" s="226"/>
      <c r="D71" s="219">
        <f>Сводная!K22</f>
        <v>114</v>
      </c>
      <c r="E71" s="220">
        <f>Сводная!L22</f>
        <v>149</v>
      </c>
      <c r="G71" s="24"/>
      <c r="H71" s="12"/>
      <c r="I71" s="12"/>
      <c r="N71" s="24"/>
      <c r="O71" s="12"/>
      <c r="P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</row>
    <row r="72" spans="1:44" ht="18.75">
      <c r="A72" s="2" t="s">
        <v>183</v>
      </c>
      <c r="B72" s="8"/>
      <c r="C72" s="226"/>
      <c r="D72" s="219"/>
      <c r="E72" s="220"/>
      <c r="G72" s="24"/>
      <c r="H72" s="12"/>
      <c r="I72" s="12"/>
      <c r="N72" s="24"/>
      <c r="O72" s="12"/>
      <c r="P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</row>
    <row r="73" spans="1:44" ht="20.25">
      <c r="A73" s="2"/>
      <c r="B73" s="8" t="s">
        <v>35</v>
      </c>
      <c r="C73" s="226" t="s">
        <v>273</v>
      </c>
      <c r="D73" s="219">
        <f>Сводная!K24</f>
        <v>4.9</v>
      </c>
      <c r="E73" s="220">
        <f>Сводная!L24</f>
        <v>4.1</v>
      </c>
      <c r="G73" s="24"/>
      <c r="H73" s="12"/>
      <c r="I73" s="12"/>
      <c r="N73" s="24"/>
      <c r="O73" s="12"/>
      <c r="P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</row>
    <row r="74" spans="1:44" ht="18.75">
      <c r="A74" s="2"/>
      <c r="B74" s="15" t="s">
        <v>198</v>
      </c>
      <c r="C74" s="226" t="s">
        <v>116</v>
      </c>
      <c r="D74" s="217">
        <f>Сводная!K25</f>
        <v>0</v>
      </c>
      <c r="E74" s="218">
        <f>Сводная!L25</f>
        <v>0</v>
      </c>
      <c r="G74" s="24"/>
      <c r="H74" s="12"/>
      <c r="I74" s="12"/>
      <c r="N74" s="24"/>
      <c r="O74" s="12"/>
      <c r="P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</row>
    <row r="75" spans="1:44" ht="20.25">
      <c r="A75" s="2"/>
      <c r="B75" s="8" t="s">
        <v>37</v>
      </c>
      <c r="C75" s="226" t="s">
        <v>274</v>
      </c>
      <c r="D75" s="219">
        <f>Сводная!K26</f>
        <v>9.03</v>
      </c>
      <c r="E75" s="220">
        <f>Сводная!L26</f>
        <v>9.49</v>
      </c>
      <c r="G75" s="24"/>
      <c r="H75" s="12"/>
      <c r="I75" s="12"/>
      <c r="N75" s="24"/>
      <c r="O75" s="12"/>
      <c r="P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</row>
    <row r="76" spans="1:44" ht="18.75">
      <c r="A76" s="2" t="s">
        <v>129</v>
      </c>
      <c r="B76" s="8"/>
      <c r="C76" s="226"/>
      <c r="D76" s="219">
        <f>Сводная!K27</f>
        <v>1.27</v>
      </c>
      <c r="E76" s="220">
        <f>Сводная!L27</f>
        <v>1.22</v>
      </c>
      <c r="G76" s="24"/>
      <c r="H76" s="12"/>
      <c r="I76" s="12"/>
      <c r="N76" s="24"/>
      <c r="O76" s="12"/>
      <c r="P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</row>
    <row r="77" spans="1:44" ht="18.75">
      <c r="A77" s="2" t="s">
        <v>30</v>
      </c>
      <c r="B77" s="8"/>
      <c r="C77" s="226"/>
      <c r="D77" s="219"/>
      <c r="E77" s="220"/>
      <c r="G77" s="24"/>
      <c r="H77" s="12"/>
      <c r="I77" s="12"/>
      <c r="N77" s="24"/>
      <c r="O77" s="12"/>
      <c r="P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</row>
    <row r="78" spans="1:44" ht="18.75">
      <c r="A78" s="2"/>
      <c r="B78" s="8" t="s">
        <v>31</v>
      </c>
      <c r="C78" s="226"/>
      <c r="D78" s="219">
        <f>Сводная!K31</f>
        <v>5.1</v>
      </c>
      <c r="E78" s="220">
        <f>Сводная!L31</f>
        <v>6.62</v>
      </c>
      <c r="G78" s="24"/>
      <c r="H78" s="12"/>
      <c r="I78" s="12"/>
      <c r="N78" s="24"/>
      <c r="O78" s="12"/>
      <c r="P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</row>
    <row r="79" spans="1:44" ht="18.75">
      <c r="A79" s="2"/>
      <c r="B79" s="8" t="s">
        <v>234</v>
      </c>
      <c r="C79" s="226"/>
      <c r="D79" s="219">
        <f>Сводная!K32</f>
        <v>0</v>
      </c>
      <c r="E79" s="220">
        <f>Сводная!L32</f>
        <v>0</v>
      </c>
      <c r="F79" s="12"/>
      <c r="G79" s="24"/>
      <c r="H79" s="12"/>
      <c r="I79" s="12"/>
      <c r="J79" s="12"/>
      <c r="K79" s="12"/>
      <c r="L79" s="12"/>
      <c r="M79" s="12"/>
      <c r="N79" s="24"/>
      <c r="O79" s="12"/>
      <c r="P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</row>
    <row r="80" spans="1:44" ht="18.75">
      <c r="A80" s="2"/>
      <c r="B80" s="8" t="s">
        <v>38</v>
      </c>
      <c r="C80" s="226"/>
      <c r="D80" s="219">
        <f>Сводная!K35</f>
        <v>0.86</v>
      </c>
      <c r="E80" s="220">
        <f>Сводная!L35</f>
        <v>0.76</v>
      </c>
      <c r="F80" s="12"/>
      <c r="G80" s="24"/>
      <c r="H80" s="12"/>
      <c r="I80" s="12"/>
      <c r="J80" s="12"/>
      <c r="K80" s="12"/>
      <c r="L80" s="12"/>
      <c r="M80" s="12"/>
      <c r="N80" s="24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</row>
    <row r="81" spans="1:44" ht="18.75">
      <c r="A81" s="2" t="s">
        <v>32</v>
      </c>
      <c r="B81" s="8"/>
      <c r="C81" s="226"/>
      <c r="D81" s="219">
        <f>Сводная!K36</f>
        <v>94</v>
      </c>
      <c r="E81" s="220">
        <f>Сводная!L36</f>
        <v>92.6</v>
      </c>
      <c r="F81" s="12"/>
      <c r="G81" s="24"/>
      <c r="H81" s="12"/>
      <c r="I81" s="12"/>
      <c r="J81" s="12"/>
      <c r="K81" s="12"/>
      <c r="L81" s="12"/>
      <c r="M81" s="12"/>
      <c r="N81" s="24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</row>
    <row r="82" spans="1:44" ht="18.75">
      <c r="A82" s="170" t="s">
        <v>184</v>
      </c>
      <c r="B82" s="9"/>
      <c r="C82" s="253"/>
      <c r="D82" s="364">
        <f>Сводная!K37</f>
        <v>152</v>
      </c>
      <c r="E82" s="365">
        <f>Сводная!L37</f>
        <v>154.3</v>
      </c>
      <c r="F82" s="12"/>
      <c r="G82" s="12"/>
      <c r="H82" s="12"/>
      <c r="I82" s="12"/>
      <c r="J82" s="12"/>
      <c r="K82" s="12"/>
      <c r="L82" s="12"/>
      <c r="M82" s="12"/>
      <c r="N82" s="24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</row>
    <row r="83" spans="1:44" ht="18.75">
      <c r="A83" s="228"/>
      <c r="B83" s="197"/>
      <c r="C83" s="197"/>
      <c r="D83" s="229"/>
      <c r="E83" s="229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</row>
    <row r="84" spans="1:44" ht="18.75">
      <c r="A84" s="1" t="s">
        <v>343</v>
      </c>
      <c r="B84" s="8"/>
      <c r="C84" s="8"/>
      <c r="E84" s="228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</row>
    <row r="85" spans="6:44" ht="18.75">
      <c r="F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</row>
    <row r="86" spans="5:44" ht="18.75">
      <c r="E86" s="368"/>
      <c r="F86" s="357" t="s">
        <v>281</v>
      </c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</row>
    <row r="87" spans="2:44" ht="18.75">
      <c r="B87"/>
      <c r="C87"/>
      <c r="D87"/>
      <c r="E87"/>
      <c r="F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</row>
    <row r="88" spans="2:44" ht="18.75">
      <c r="B88"/>
      <c r="C88"/>
      <c r="D88" s="22" t="s">
        <v>147</v>
      </c>
      <c r="E88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</row>
    <row r="89" spans="2:44" ht="18.75">
      <c r="B89" s="22"/>
      <c r="D89" s="11"/>
      <c r="F89" s="22" t="s">
        <v>317</v>
      </c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</row>
    <row r="90" spans="2:44" ht="18.75">
      <c r="B90" s="23"/>
      <c r="E90" s="22"/>
      <c r="F90" s="22" t="s">
        <v>346</v>
      </c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</row>
    <row r="91" spans="1:44" ht="18.75">
      <c r="A91" s="237"/>
      <c r="B91" s="40"/>
      <c r="C91" s="22"/>
      <c r="F91" s="15" t="s">
        <v>347</v>
      </c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</row>
    <row r="92" spans="2:44" ht="18.75">
      <c r="B92" s="43"/>
      <c r="C92" s="2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</row>
    <row r="93" spans="2:44" ht="18.75">
      <c r="B93" s="43"/>
      <c r="C93" s="8"/>
      <c r="D93" s="25"/>
      <c r="E93" s="25"/>
      <c r="F93" s="12" t="s">
        <v>281</v>
      </c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</row>
    <row r="94" spans="2:44" ht="18.75">
      <c r="B94" s="43"/>
      <c r="C94" s="43"/>
      <c r="D94" s="43"/>
      <c r="E94" s="4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</row>
    <row r="95" spans="4:44" ht="18.75">
      <c r="D95" s="8"/>
      <c r="F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</row>
    <row r="96" spans="3:44" ht="18.75">
      <c r="C96" s="234" t="s">
        <v>153</v>
      </c>
      <c r="F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</row>
    <row r="97" spans="3:44" ht="18.75">
      <c r="C97" s="234" t="s">
        <v>282</v>
      </c>
      <c r="F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</row>
    <row r="98" spans="1:44" ht="18.75">
      <c r="A98" s="137"/>
      <c r="C98" s="11" t="s">
        <v>348</v>
      </c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</row>
    <row r="99" spans="2:44" ht="18.75">
      <c r="B99" s="137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</row>
    <row r="100" spans="1:44" ht="18.75">
      <c r="A100" s="461" t="s">
        <v>33</v>
      </c>
      <c r="B100" s="462"/>
      <c r="C100" s="463"/>
      <c r="D100" s="461" t="s">
        <v>141</v>
      </c>
      <c r="E100" s="463"/>
      <c r="G100" s="12"/>
      <c r="H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</row>
    <row r="101" spans="1:44" ht="18.75">
      <c r="A101" s="467"/>
      <c r="B101" s="468"/>
      <c r="C101" s="469"/>
      <c r="D101" s="467"/>
      <c r="E101" s="469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</row>
    <row r="102" spans="1:44" ht="18.75">
      <c r="A102" s="295" t="s">
        <v>270</v>
      </c>
      <c r="B102" s="8"/>
      <c r="C102" s="226"/>
      <c r="D102" s="289" t="str">
        <f>Сводная!N6</f>
        <v>“20%”</v>
      </c>
      <c r="E102" s="280" t="str">
        <f>Сводная!Q6</f>
        <v>“100%”</v>
      </c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</row>
    <row r="103" spans="1:44" ht="18.75">
      <c r="A103" s="2" t="s">
        <v>196</v>
      </c>
      <c r="B103" s="8"/>
      <c r="C103" s="226"/>
      <c r="D103" s="217">
        <f>Сводная!N7</f>
        <v>0.35</v>
      </c>
      <c r="E103" s="218">
        <f>Сводная!Q7</f>
        <v>1.702</v>
      </c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</row>
    <row r="104" spans="1:44" ht="18.75">
      <c r="A104" s="2" t="s">
        <v>179</v>
      </c>
      <c r="B104" s="8"/>
      <c r="C104" s="226"/>
      <c r="D104" s="217">
        <f>Сводная!N9</f>
        <v>134</v>
      </c>
      <c r="E104" s="218">
        <f>Сводная!Q9</f>
        <v>134</v>
      </c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</row>
    <row r="105" spans="1:44" ht="18.75">
      <c r="A105" s="17" t="s">
        <v>204</v>
      </c>
      <c r="B105" s="19"/>
      <c r="C105" s="8" t="s">
        <v>49</v>
      </c>
      <c r="D105" s="217">
        <f>Сводная!N11</f>
        <v>73</v>
      </c>
      <c r="E105" s="218">
        <f>Сводная!Q11</f>
        <v>100</v>
      </c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</row>
    <row r="106" spans="1:44" ht="18.75">
      <c r="A106" s="17"/>
      <c r="C106" s="8" t="s">
        <v>50</v>
      </c>
      <c r="D106" s="217">
        <f>ROUND(Сводная!N12,0)</f>
        <v>70</v>
      </c>
      <c r="E106" s="218">
        <f>ROUND(Сводная!Q12,0)</f>
        <v>87</v>
      </c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</row>
    <row r="107" spans="1:44" ht="22.5">
      <c r="A107" s="17" t="s">
        <v>157</v>
      </c>
      <c r="B107" s="8"/>
      <c r="C107" s="226"/>
      <c r="D107" s="217">
        <f>Сводная!N13</f>
        <v>2.7</v>
      </c>
      <c r="E107" s="218">
        <f>Сводная!Q13</f>
        <v>3.2</v>
      </c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</row>
    <row r="108" spans="1:44" ht="18.75">
      <c r="A108" s="2" t="s">
        <v>17</v>
      </c>
      <c r="B108" s="8"/>
      <c r="C108" s="226"/>
      <c r="D108" s="233"/>
      <c r="E108" s="232" t="str">
        <f>Сводная!H15</f>
        <v>Природный газ  ГОСТ 5542-87</v>
      </c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</row>
    <row r="109" spans="1:44" ht="22.5">
      <c r="A109" s="17" t="s">
        <v>271</v>
      </c>
      <c r="B109" s="8"/>
      <c r="C109" s="226"/>
      <c r="D109" s="459" t="e">
        <f>Сводная!#REF!</f>
        <v>#REF!</v>
      </c>
      <c r="E109" s="460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</row>
    <row r="110" spans="1:44" ht="18.75">
      <c r="A110" s="2" t="s">
        <v>290</v>
      </c>
      <c r="B110" s="8"/>
      <c r="C110" s="226"/>
      <c r="D110" s="217">
        <f>Сводная!N17</f>
        <v>29</v>
      </c>
      <c r="E110" s="218">
        <f>Сводная!Q17</f>
        <v>29</v>
      </c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</row>
    <row r="111" spans="1:44" ht="18.75">
      <c r="A111" s="17" t="s">
        <v>291</v>
      </c>
      <c r="B111" s="8"/>
      <c r="C111" s="226"/>
      <c r="D111" s="217">
        <f>Сводная!N18</f>
        <v>9.5</v>
      </c>
      <c r="E111" s="218">
        <f>Сводная!Q18</f>
        <v>8.700000000000001</v>
      </c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</row>
    <row r="112" spans="1:44" ht="18.75">
      <c r="A112" s="17" t="s">
        <v>181</v>
      </c>
      <c r="B112" s="8"/>
      <c r="C112" s="226"/>
      <c r="D112" s="217" t="e">
        <f>Сводная!#REF!</f>
        <v>#REF!</v>
      </c>
      <c r="E112" s="218" t="e">
        <f>Сводная!#REF!</f>
        <v>#REF!</v>
      </c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</row>
    <row r="113" spans="1:44" ht="22.5">
      <c r="A113" s="2" t="s">
        <v>272</v>
      </c>
      <c r="B113" s="8"/>
      <c r="C113" s="226"/>
      <c r="D113" s="217">
        <f>Сводная!N19</f>
        <v>46</v>
      </c>
      <c r="E113" s="218">
        <f>Сводная!Q19</f>
        <v>232</v>
      </c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</row>
    <row r="114" spans="1:44" ht="18.75">
      <c r="A114" s="2" t="s">
        <v>182</v>
      </c>
      <c r="B114" s="8"/>
      <c r="C114" s="226"/>
      <c r="D114" s="219" t="e">
        <f>Сводная!#REF!</f>
        <v>#REF!</v>
      </c>
      <c r="E114" s="220" t="e">
        <f>Сводная!#REF!</f>
        <v>#REF!</v>
      </c>
      <c r="G114" s="17" t="s">
        <v>243</v>
      </c>
      <c r="H114" s="8"/>
      <c r="I114" s="226"/>
      <c r="J114" s="297" t="e">
        <f>Сводная!#REF!</f>
        <v>#REF!</v>
      </c>
      <c r="K114" s="298" t="e">
        <f>Сводная!#REF!</f>
        <v>#REF!</v>
      </c>
      <c r="L114" s="298" t="e">
        <f>Сводная!#REF!</f>
        <v>#REF!</v>
      </c>
      <c r="M114" s="299" t="e">
        <f>Сводная!#REF!</f>
        <v>#REF!</v>
      </c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</row>
    <row r="115" spans="1:44" ht="18.75">
      <c r="A115" s="2" t="s">
        <v>112</v>
      </c>
      <c r="B115" s="8"/>
      <c r="C115" s="226"/>
      <c r="D115" s="219">
        <f>Сводная!N21</f>
        <v>15</v>
      </c>
      <c r="E115" s="220">
        <f>Сводная!Q21</f>
        <v>15</v>
      </c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</row>
    <row r="116" spans="1:44" ht="18.75">
      <c r="A116" s="2" t="s">
        <v>230</v>
      </c>
      <c r="B116" s="8"/>
      <c r="C116" s="226"/>
      <c r="D116" s="219">
        <f>Сводная!N22</f>
        <v>118</v>
      </c>
      <c r="E116" s="220">
        <f>Сводная!Q22</f>
        <v>208</v>
      </c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</row>
    <row r="117" spans="1:44" ht="18.75">
      <c r="A117" s="2" t="s">
        <v>183</v>
      </c>
      <c r="B117" s="8"/>
      <c r="C117" s="226"/>
      <c r="D117" s="219"/>
      <c r="E117" s="220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</row>
    <row r="118" spans="1:44" ht="20.25">
      <c r="A118" s="2"/>
      <c r="B118" s="8" t="s">
        <v>35</v>
      </c>
      <c r="C118" s="226" t="s">
        <v>273</v>
      </c>
      <c r="D118" s="219">
        <f>Сводная!N24</f>
        <v>4.9</v>
      </c>
      <c r="E118" s="220">
        <f>Сводная!Q24</f>
        <v>3.5</v>
      </c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</row>
    <row r="119" spans="1:44" ht="18.75">
      <c r="A119" s="2"/>
      <c r="B119" s="15" t="s">
        <v>198</v>
      </c>
      <c r="C119" s="226" t="s">
        <v>116</v>
      </c>
      <c r="D119" s="217">
        <f>Сводная!N25</f>
        <v>0</v>
      </c>
      <c r="E119" s="218">
        <f>Сводная!Q25</f>
        <v>0</v>
      </c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</row>
    <row r="120" spans="1:44" ht="20.25">
      <c r="A120" s="2"/>
      <c r="B120" s="8" t="s">
        <v>37</v>
      </c>
      <c r="C120" s="226" t="s">
        <v>274</v>
      </c>
      <c r="D120" s="219">
        <f>Сводная!N26</f>
        <v>9.03</v>
      </c>
      <c r="E120" s="220">
        <f>Сводная!Q26</f>
        <v>9.82</v>
      </c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</row>
    <row r="121" spans="1:44" ht="18.75">
      <c r="A121" s="2" t="s">
        <v>129</v>
      </c>
      <c r="B121" s="8"/>
      <c r="C121" s="226"/>
      <c r="D121" s="219">
        <f>Сводная!N27</f>
        <v>1.27</v>
      </c>
      <c r="E121" s="220">
        <f>Сводная!Q27</f>
        <v>1.18</v>
      </c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</row>
    <row r="122" spans="1:44" ht="18.75">
      <c r="A122" s="2" t="s">
        <v>30</v>
      </c>
      <c r="B122" s="8"/>
      <c r="C122" s="226"/>
      <c r="D122" s="219"/>
      <c r="E122" s="220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</row>
    <row r="123" spans="1:44" ht="18.75">
      <c r="A123" s="2"/>
      <c r="B123" s="8" t="s">
        <v>31</v>
      </c>
      <c r="C123" s="226"/>
      <c r="D123" s="219">
        <f>Сводная!N31</f>
        <v>5.3</v>
      </c>
      <c r="E123" s="220">
        <f>Сводная!Q31</f>
        <v>9.29</v>
      </c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</row>
    <row r="124" spans="1:44" ht="18.75">
      <c r="A124" s="2"/>
      <c r="B124" s="8" t="s">
        <v>234</v>
      </c>
      <c r="C124" s="226"/>
      <c r="D124" s="219">
        <f>Сводная!N32</f>
        <v>0</v>
      </c>
      <c r="E124" s="220">
        <f>Сводная!Q32</f>
        <v>0</v>
      </c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</row>
    <row r="125" spans="1:44" ht="18.75">
      <c r="A125" s="2"/>
      <c r="B125" s="8" t="s">
        <v>38</v>
      </c>
      <c r="C125" s="226"/>
      <c r="D125" s="219">
        <f>Сводная!N35</f>
        <v>0.9</v>
      </c>
      <c r="E125" s="220">
        <f>Сводная!Q35</f>
        <v>0.3</v>
      </c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</row>
    <row r="126" spans="1:44" ht="18.75">
      <c r="A126" s="2" t="s">
        <v>32</v>
      </c>
      <c r="B126" s="8"/>
      <c r="C126" s="226"/>
      <c r="D126" s="219">
        <f>Сводная!N36</f>
        <v>93.8</v>
      </c>
      <c r="E126" s="220">
        <f>Сводная!Q36</f>
        <v>90.4</v>
      </c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</row>
    <row r="127" spans="1:44" ht="18.75">
      <c r="A127" s="170" t="s">
        <v>184</v>
      </c>
      <c r="B127" s="9"/>
      <c r="C127" s="253"/>
      <c r="D127" s="364">
        <f>Сводная!N37</f>
        <v>152.3</v>
      </c>
      <c r="E127" s="365">
        <f>Сводная!Q37</f>
        <v>158</v>
      </c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</row>
    <row r="128" spans="1:44" ht="18.75">
      <c r="A128" s="228"/>
      <c r="B128" s="197"/>
      <c r="C128" s="197"/>
      <c r="D128" s="229"/>
      <c r="E128" s="229"/>
      <c r="F128" s="12"/>
      <c r="J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</row>
    <row r="129" spans="1:44" ht="18.75">
      <c r="A129" s="1" t="s">
        <v>343</v>
      </c>
      <c r="B129" s="8"/>
      <c r="C129" s="8"/>
      <c r="E129" s="228"/>
      <c r="F129" s="12"/>
      <c r="J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</row>
    <row r="130" spans="5:44" ht="18.75">
      <c r="E130" s="357" t="s">
        <v>281</v>
      </c>
      <c r="F130" s="12"/>
      <c r="J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</row>
    <row r="131" spans="5:44" ht="18.75">
      <c r="E131" s="10"/>
      <c r="F131" s="12"/>
      <c r="J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</row>
    <row r="132" spans="5:44" ht="18.75">
      <c r="E132" s="239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</row>
    <row r="133" spans="5:44" ht="18.75">
      <c r="E133" s="15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</row>
    <row r="134" spans="2:44" ht="18.75">
      <c r="B134"/>
      <c r="C134"/>
      <c r="D134"/>
      <c r="E134" s="11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</row>
    <row r="135" spans="2:44" ht="18.75">
      <c r="B135" s="22"/>
      <c r="C135"/>
      <c r="D135" s="22" t="s">
        <v>147</v>
      </c>
      <c r="E135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</row>
    <row r="136" spans="2:44" ht="18.75">
      <c r="B136" s="23"/>
      <c r="D136" s="11"/>
      <c r="F136" s="22" t="s">
        <v>317</v>
      </c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</row>
    <row r="137" spans="1:44" ht="18.75">
      <c r="A137" s="237"/>
      <c r="B137" s="40"/>
      <c r="E137" s="22"/>
      <c r="F137" s="22" t="s">
        <v>346</v>
      </c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</row>
    <row r="138" spans="2:44" ht="18.75">
      <c r="B138" s="43"/>
      <c r="C138" s="22"/>
      <c r="F138" s="15" t="s">
        <v>347</v>
      </c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</row>
    <row r="139" spans="3:44" ht="18.75">
      <c r="C139" s="2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</row>
    <row r="140" spans="3:44" ht="18.75">
      <c r="C140" s="8"/>
      <c r="D140" s="25"/>
      <c r="E140" s="25"/>
      <c r="F140" s="12" t="s">
        <v>281</v>
      </c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</row>
    <row r="141" spans="3:44" ht="18.75">
      <c r="C141" s="8"/>
      <c r="D141" s="8"/>
      <c r="E141" s="8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</row>
    <row r="142" spans="3:44" ht="18.75">
      <c r="C142" s="8"/>
      <c r="D142" s="8"/>
      <c r="E142" s="8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</row>
    <row r="143" spans="3:44" ht="18.75">
      <c r="C143" s="234" t="s">
        <v>156</v>
      </c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</row>
    <row r="144" spans="1:44" ht="18.75">
      <c r="A144" s="137"/>
      <c r="C144" s="216" t="s">
        <v>187</v>
      </c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</row>
    <row r="145" spans="2:44" ht="18.75">
      <c r="B145" s="137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</row>
    <row r="146" spans="1:44" ht="18.75">
      <c r="A146" s="461" t="s">
        <v>33</v>
      </c>
      <c r="B146" s="470"/>
      <c r="C146" s="471"/>
      <c r="D146" s="461" t="s">
        <v>141</v>
      </c>
      <c r="E146" s="471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</row>
    <row r="147" spans="1:44" ht="18.75">
      <c r="A147" s="472"/>
      <c r="B147" s="473"/>
      <c r="C147" s="474"/>
      <c r="D147" s="472"/>
      <c r="E147" s="474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</row>
    <row r="148" spans="1:44" ht="18.75">
      <c r="A148" s="36" t="s">
        <v>152</v>
      </c>
      <c r="B148" s="230"/>
      <c r="C148" s="231"/>
      <c r="D148" s="224" t="e">
        <f>Сводная!#REF!</f>
        <v>#REF!</v>
      </c>
      <c r="E148" s="225" t="e">
        <f>Сводная!#REF!</f>
        <v>#REF!</v>
      </c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</row>
    <row r="149" spans="1:44" ht="18.75">
      <c r="A149" s="2" t="s">
        <v>196</v>
      </c>
      <c r="B149" s="8"/>
      <c r="C149" s="226"/>
      <c r="D149" s="217">
        <f>Сводная!R7</f>
        <v>0.071</v>
      </c>
      <c r="E149" s="218">
        <f>Сводная!U7</f>
        <v>0.425</v>
      </c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</row>
    <row r="150" spans="1:44" ht="18.75">
      <c r="A150" s="2" t="s">
        <v>179</v>
      </c>
      <c r="B150" s="8"/>
      <c r="C150" s="226"/>
      <c r="D150" s="217">
        <f>Сводная!R9</f>
        <v>8.8</v>
      </c>
      <c r="E150" s="218">
        <f>Сводная!U9</f>
        <v>8.8</v>
      </c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</row>
    <row r="151" spans="1:44" ht="18.75">
      <c r="A151" s="17" t="s">
        <v>40</v>
      </c>
      <c r="B151" s="19"/>
      <c r="C151" s="227"/>
      <c r="D151" s="217"/>
      <c r="E151" s="218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</row>
    <row r="152" spans="1:44" ht="18.75">
      <c r="A152" s="17"/>
      <c r="B152" s="8" t="s">
        <v>49</v>
      </c>
      <c r="C152" s="226"/>
      <c r="D152" s="217">
        <f>Сводная!R11</f>
        <v>77</v>
      </c>
      <c r="E152" s="218">
        <f>Сводная!U11</f>
        <v>128</v>
      </c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</row>
    <row r="153" spans="1:44" ht="18.75">
      <c r="A153" s="17"/>
      <c r="B153" s="8" t="s">
        <v>50</v>
      </c>
      <c r="C153" s="226"/>
      <c r="D153" s="217">
        <f>Сводная!R12</f>
        <v>69</v>
      </c>
      <c r="E153" s="218">
        <f>Сводная!U12</f>
        <v>80</v>
      </c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</row>
    <row r="154" spans="1:44" ht="22.5">
      <c r="A154" s="17" t="s">
        <v>157</v>
      </c>
      <c r="B154" s="8"/>
      <c r="C154" s="226"/>
      <c r="D154" s="217">
        <f>Сводная!R13</f>
        <v>2.7</v>
      </c>
      <c r="E154" s="218">
        <f>Сводная!U13</f>
        <v>2.8</v>
      </c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</row>
    <row r="155" spans="1:44" ht="18.75">
      <c r="A155" s="2" t="s">
        <v>17</v>
      </c>
      <c r="B155" s="8"/>
      <c r="C155" s="226"/>
      <c r="D155" s="12"/>
      <c r="E155" s="232" t="str">
        <f>Сводная!H15</f>
        <v>Природный газ  ГОСТ 5542-87</v>
      </c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</row>
    <row r="156" spans="1:44" ht="22.5">
      <c r="A156" s="2" t="s">
        <v>148</v>
      </c>
      <c r="B156" s="8"/>
      <c r="C156" s="226"/>
      <c r="D156" s="459" t="e">
        <f>Сводная!#REF!</f>
        <v>#REF!</v>
      </c>
      <c r="E156" s="460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</row>
    <row r="157" spans="1:44" ht="18.75">
      <c r="A157" s="17" t="s">
        <v>189</v>
      </c>
      <c r="B157" s="8"/>
      <c r="C157" s="226"/>
      <c r="D157" s="217">
        <f>Сводная!R17</f>
        <v>14.200000000000001</v>
      </c>
      <c r="E157" s="218">
        <f>Сводная!U17</f>
        <v>15</v>
      </c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</row>
    <row r="158" spans="1:44" ht="18.75">
      <c r="A158" s="17" t="s">
        <v>190</v>
      </c>
      <c r="B158" s="8"/>
      <c r="C158" s="226"/>
      <c r="D158" s="217">
        <f>Сводная!R18</f>
        <v>11.8</v>
      </c>
      <c r="E158" s="218">
        <f>Сводная!U18</f>
        <v>11</v>
      </c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</row>
    <row r="159" spans="1:44" ht="18.75">
      <c r="A159" s="17" t="s">
        <v>181</v>
      </c>
      <c r="B159" s="8"/>
      <c r="C159" s="226"/>
      <c r="D159" s="217" t="e">
        <f>Сводная!#REF!</f>
        <v>#REF!</v>
      </c>
      <c r="E159" s="218" t="e">
        <f>Сводная!#REF!</f>
        <v>#REF!</v>
      </c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</row>
    <row r="160" spans="1:44" ht="22.5">
      <c r="A160" s="2" t="s">
        <v>149</v>
      </c>
      <c r="B160" s="8"/>
      <c r="C160" s="226"/>
      <c r="D160" s="217">
        <f>Сводная!R19</f>
        <v>9.2</v>
      </c>
      <c r="E160" s="218">
        <f>Сводная!U19</f>
        <v>56</v>
      </c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</row>
    <row r="161" spans="1:44" ht="18.75">
      <c r="A161" s="17" t="s">
        <v>182</v>
      </c>
      <c r="B161" s="8"/>
      <c r="C161" s="226"/>
      <c r="D161" s="217" t="e">
        <f>Сводная!#REF!</f>
        <v>#REF!</v>
      </c>
      <c r="E161" s="218" t="e">
        <f>Сводная!#REF!</f>
        <v>#REF!</v>
      </c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</row>
    <row r="162" spans="1:44" ht="18.75">
      <c r="A162" s="2" t="s">
        <v>112</v>
      </c>
      <c r="B162" s="8"/>
      <c r="C162" s="226"/>
      <c r="D162" s="219" t="e">
        <f>Сводная!#REF!</f>
        <v>#REF!</v>
      </c>
      <c r="E162" s="220" t="e">
        <f>Сводная!#REF!</f>
        <v>#REF!</v>
      </c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</row>
    <row r="163" spans="1:44" ht="18.75">
      <c r="A163" s="2" t="s">
        <v>142</v>
      </c>
      <c r="B163" s="8"/>
      <c r="C163" s="226"/>
      <c r="D163" s="219">
        <f>Сводная!R22</f>
        <v>123</v>
      </c>
      <c r="E163" s="220">
        <f>Сводная!U22</f>
        <v>188</v>
      </c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</row>
    <row r="164" spans="1:44" ht="18.75">
      <c r="A164" s="2" t="s">
        <v>34</v>
      </c>
      <c r="B164" s="8"/>
      <c r="C164" s="226"/>
      <c r="D164" s="219"/>
      <c r="E164" s="220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</row>
    <row r="165" spans="1:44" ht="20.25">
      <c r="A165" s="2"/>
      <c r="B165" s="8" t="s">
        <v>35</v>
      </c>
      <c r="C165" s="226" t="s">
        <v>150</v>
      </c>
      <c r="D165" s="219">
        <f>Сводная!R24</f>
        <v>6.2</v>
      </c>
      <c r="E165" s="220">
        <f>Сводная!U24</f>
        <v>3.3</v>
      </c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</row>
    <row r="166" spans="1:44" ht="18.75">
      <c r="A166" s="2"/>
      <c r="B166" s="8" t="s">
        <v>36</v>
      </c>
      <c r="C166" s="226" t="s">
        <v>116</v>
      </c>
      <c r="D166" s="217">
        <f>Сводная!R25</f>
        <v>57</v>
      </c>
      <c r="E166" s="218">
        <f>Сводная!U25</f>
        <v>9</v>
      </c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</row>
    <row r="167" spans="1:44" ht="20.25">
      <c r="A167" s="2"/>
      <c r="B167" s="8" t="s">
        <v>37</v>
      </c>
      <c r="C167" s="226" t="s">
        <v>151</v>
      </c>
      <c r="D167" s="219">
        <f>Сводная!R26</f>
        <v>8.3</v>
      </c>
      <c r="E167" s="220">
        <f>Сводная!U26</f>
        <v>9.94</v>
      </c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</row>
    <row r="168" spans="1:44" ht="18.75">
      <c r="A168" s="2" t="s">
        <v>41</v>
      </c>
      <c r="B168" s="8"/>
      <c r="C168" s="226"/>
      <c r="D168" s="219">
        <f>Сводная!R27</f>
        <v>1.38</v>
      </c>
      <c r="E168" s="220">
        <f>Сводная!U27</f>
        <v>1.17</v>
      </c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</row>
    <row r="169" spans="1:44" ht="18.75">
      <c r="A169" s="2" t="s">
        <v>30</v>
      </c>
      <c r="B169" s="8"/>
      <c r="C169" s="226"/>
      <c r="D169" s="219"/>
      <c r="E169" s="220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</row>
    <row r="170" spans="1:44" ht="18.75">
      <c r="A170" s="2"/>
      <c r="B170" s="8" t="s">
        <v>31</v>
      </c>
      <c r="C170" s="226"/>
      <c r="D170" s="219">
        <f>Сводная!R31</f>
        <v>5.72</v>
      </c>
      <c r="E170" s="220">
        <f>Сводная!U31</f>
        <v>8.05</v>
      </c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</row>
    <row r="171" spans="1:44" ht="18.75">
      <c r="A171" s="2"/>
      <c r="B171" s="8" t="s">
        <v>145</v>
      </c>
      <c r="C171" s="226"/>
      <c r="D171" s="219">
        <f>Сводная!R32</f>
        <v>0</v>
      </c>
      <c r="E171" s="220">
        <f>Сводная!U32</f>
        <v>0</v>
      </c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</row>
    <row r="172" spans="1:44" ht="18.75">
      <c r="A172" s="2"/>
      <c r="B172" s="8" t="s">
        <v>38</v>
      </c>
      <c r="C172" s="226"/>
      <c r="D172" s="219">
        <f>Сводная!R35</f>
        <v>1.32</v>
      </c>
      <c r="E172" s="220">
        <f>Сводная!U35</f>
        <v>0.37</v>
      </c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</row>
    <row r="173" spans="1:44" ht="18.75">
      <c r="A173" s="2" t="s">
        <v>32</v>
      </c>
      <c r="B173" s="8"/>
      <c r="C173" s="226"/>
      <c r="D173" s="219">
        <f>Сводная!R36</f>
        <v>93</v>
      </c>
      <c r="E173" s="220">
        <f>Сводная!U36</f>
        <v>91.6</v>
      </c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</row>
    <row r="174" spans="1:44" ht="18.75">
      <c r="A174" s="170" t="s">
        <v>184</v>
      </c>
      <c r="B174" s="9"/>
      <c r="C174" s="253"/>
      <c r="D174" s="221">
        <f>Сводная!R37</f>
        <v>154</v>
      </c>
      <c r="E174" s="223">
        <f>Сводная!U37</f>
        <v>156</v>
      </c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</row>
    <row r="175" spans="1:44" ht="18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</row>
    <row r="176" spans="1:44" ht="18.75">
      <c r="A176" s="1" t="s">
        <v>343</v>
      </c>
      <c r="B176" s="240"/>
      <c r="C176" s="240"/>
      <c r="D176" s="10"/>
      <c r="E176" s="228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</row>
    <row r="177" spans="5:44" ht="18.75">
      <c r="E177" s="260">
        <v>2012</v>
      </c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</row>
    <row r="178" spans="3:44" ht="18.75"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</row>
    <row r="179" spans="1:44" ht="18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</row>
    <row r="180" spans="1:44" ht="18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</row>
    <row r="181" spans="1:44" ht="18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</row>
  </sheetData>
  <mergeCells count="10">
    <mergeCell ref="D156:E156"/>
    <mergeCell ref="D109:E109"/>
    <mergeCell ref="A14:C16"/>
    <mergeCell ref="A57:C59"/>
    <mergeCell ref="A146:C147"/>
    <mergeCell ref="D146:E147"/>
    <mergeCell ref="A100:C101"/>
    <mergeCell ref="D100:E101"/>
    <mergeCell ref="D66:E66"/>
    <mergeCell ref="D23:E23"/>
  </mergeCells>
  <printOptions horizontalCentered="1"/>
  <pageMargins left="0.984251968503937" right="0.1968503937007874" top="0.5905511811023623" bottom="0.1968503937007874" header="0" footer="0"/>
  <pageSetup fitToHeight="1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zoomScale="75" zoomScaleNormal="75" workbookViewId="0" topLeftCell="A22">
      <selection activeCell="H38" sqref="H38"/>
    </sheetView>
  </sheetViews>
  <sheetFormatPr defaultColWidth="9.00390625" defaultRowHeight="12.75"/>
  <cols>
    <col min="1" max="1" width="36.375" style="0" customWidth="1"/>
    <col min="2" max="3" width="5.625" style="0" customWidth="1"/>
    <col min="4" max="4" width="6.00390625" style="0" customWidth="1"/>
    <col min="5" max="5" width="4.625" style="0" customWidth="1"/>
    <col min="7" max="7" width="4.125" style="0" customWidth="1"/>
  </cols>
  <sheetData>
    <row r="1" spans="1:8" ht="18" customHeight="1">
      <c r="A1" s="40"/>
      <c r="B1" s="40"/>
      <c r="C1" s="40"/>
      <c r="H1" s="22" t="s">
        <v>147</v>
      </c>
    </row>
    <row r="2" spans="7:10" ht="18" customHeight="1">
      <c r="G2" s="11"/>
      <c r="H2" s="11"/>
      <c r="I2" s="22" t="s">
        <v>284</v>
      </c>
      <c r="J2" s="23"/>
    </row>
    <row r="3" spans="2:9" ht="18" customHeight="1">
      <c r="B3" s="22"/>
      <c r="C3" s="22"/>
      <c r="D3" s="22"/>
      <c r="E3" s="22"/>
      <c r="F3" s="1"/>
      <c r="G3" s="1"/>
      <c r="H3" s="1"/>
      <c r="I3" s="22" t="s">
        <v>339</v>
      </c>
    </row>
    <row r="4" spans="1:9" ht="18" customHeight="1">
      <c r="A4" s="22"/>
      <c r="B4" s="23"/>
      <c r="C4" s="23"/>
      <c r="D4" s="23"/>
      <c r="E4" s="23"/>
      <c r="F4" s="22"/>
      <c r="G4" s="22"/>
      <c r="H4" s="22"/>
      <c r="I4" s="15" t="s">
        <v>340</v>
      </c>
    </row>
    <row r="5" spans="1:8" ht="18" customHeight="1">
      <c r="A5" s="40"/>
      <c r="B5" s="40"/>
      <c r="C5" s="40"/>
      <c r="D5" s="40"/>
      <c r="F5" s="22"/>
      <c r="G5" s="22"/>
      <c r="H5" s="1"/>
    </row>
    <row r="6" spans="1:9" ht="18" customHeight="1">
      <c r="A6" s="40"/>
      <c r="B6" s="40"/>
      <c r="C6" s="40"/>
      <c r="E6" s="40"/>
      <c r="F6" s="41"/>
      <c r="G6" s="25"/>
      <c r="H6" s="25"/>
      <c r="I6" s="12" t="s">
        <v>281</v>
      </c>
    </row>
    <row r="7" spans="1:5" ht="18" customHeight="1">
      <c r="A7" s="40"/>
      <c r="B7" s="40"/>
      <c r="C7" s="40"/>
      <c r="D7" s="43"/>
      <c r="E7" s="43"/>
    </row>
    <row r="8" spans="1:9" ht="12.75">
      <c r="A8" s="40"/>
      <c r="B8" s="40"/>
      <c r="C8" s="40"/>
      <c r="I8" s="40"/>
    </row>
    <row r="9" spans="1:9" ht="12.75">
      <c r="A9" s="40"/>
      <c r="B9" s="40"/>
      <c r="C9" s="40"/>
      <c r="D9" s="40"/>
      <c r="E9" s="40"/>
      <c r="F9" s="40"/>
      <c r="G9" s="40"/>
      <c r="H9" s="40"/>
      <c r="I9" s="40"/>
    </row>
    <row r="10" spans="1:9" ht="12.75">
      <c r="A10" s="40"/>
      <c r="B10" s="40"/>
      <c r="C10" s="40"/>
      <c r="D10" s="40"/>
      <c r="E10" s="40"/>
      <c r="F10" s="40"/>
      <c r="G10" s="40"/>
      <c r="H10" s="40"/>
      <c r="I10" s="40"/>
    </row>
    <row r="11" spans="1:9" ht="12.75">
      <c r="A11" s="40"/>
      <c r="B11" s="40"/>
      <c r="C11" s="40"/>
      <c r="D11" s="40"/>
      <c r="E11" s="40"/>
      <c r="F11" s="40"/>
      <c r="G11" s="40"/>
      <c r="H11" s="40"/>
      <c r="I11" s="40"/>
    </row>
    <row r="12" spans="1:9" ht="12.75">
      <c r="A12" s="40"/>
      <c r="B12" s="40"/>
      <c r="C12" s="40"/>
      <c r="D12" s="40"/>
      <c r="E12" s="40"/>
      <c r="F12" s="40"/>
      <c r="G12" s="44"/>
      <c r="H12" s="40"/>
      <c r="I12" s="40"/>
    </row>
    <row r="13" spans="1:9" ht="12.75">
      <c r="A13" s="40"/>
      <c r="B13" s="40"/>
      <c r="C13" s="40"/>
      <c r="D13" s="40"/>
      <c r="E13" s="40"/>
      <c r="F13" s="40"/>
      <c r="G13" s="40"/>
      <c r="H13" s="40"/>
      <c r="I13" s="40"/>
    </row>
    <row r="14" spans="1:9" ht="27.75">
      <c r="A14" s="403" t="s">
        <v>44</v>
      </c>
      <c r="B14" s="404"/>
      <c r="C14" s="404"/>
      <c r="D14" s="404"/>
      <c r="E14" s="404"/>
      <c r="F14" s="404"/>
      <c r="G14" s="404"/>
      <c r="H14" s="404"/>
      <c r="I14" s="404"/>
    </row>
    <row r="15" spans="1:9" ht="12.75">
      <c r="A15" s="40"/>
      <c r="B15" s="40"/>
      <c r="C15" s="40"/>
      <c r="D15" s="40"/>
      <c r="E15" s="40"/>
      <c r="F15" s="40"/>
      <c r="G15" s="40"/>
      <c r="H15" s="40"/>
      <c r="I15" s="40"/>
    </row>
    <row r="16" spans="1:9" ht="12.75">
      <c r="A16" s="335"/>
      <c r="B16" s="335"/>
      <c r="C16" s="335"/>
      <c r="D16" s="335"/>
      <c r="E16" s="335"/>
      <c r="F16" s="335"/>
      <c r="G16" s="335"/>
      <c r="H16" s="335"/>
      <c r="I16" s="335"/>
    </row>
    <row r="17" spans="1:10" ht="18" customHeight="1">
      <c r="A17" s="401" t="str">
        <f>'Тит. лист'!A22</f>
        <v>о режимно-наладочных работах</v>
      </c>
      <c r="B17" s="402"/>
      <c r="C17" s="402"/>
      <c r="D17" s="402"/>
      <c r="E17" s="402"/>
      <c r="F17" s="402"/>
      <c r="G17" s="402"/>
      <c r="H17" s="402"/>
      <c r="I17" s="402"/>
      <c r="J17" s="37"/>
    </row>
    <row r="18" spans="1:10" ht="18.75">
      <c r="A18" s="401" t="str">
        <f>'Тит. лист'!A23</f>
        <v>с водогрейными котлами “Megaprex N”</v>
      </c>
      <c r="B18" s="402"/>
      <c r="C18" s="402"/>
      <c r="D18" s="402"/>
      <c r="E18" s="402"/>
      <c r="F18" s="402"/>
      <c r="G18" s="402"/>
      <c r="H18" s="402"/>
      <c r="I18" s="402"/>
      <c r="J18" s="37"/>
    </row>
    <row r="19" spans="1:10" ht="18.75">
      <c r="A19" s="401" t="str">
        <f>'Тит. лист'!A24</f>
        <v>в котельной школы и детского сада</v>
      </c>
      <c r="B19" s="402"/>
      <c r="C19" s="402"/>
      <c r="D19" s="402"/>
      <c r="E19" s="402"/>
      <c r="F19" s="402"/>
      <c r="G19" s="402"/>
      <c r="H19" s="402"/>
      <c r="I19" s="402"/>
      <c r="J19" s="37"/>
    </row>
    <row r="20" spans="1:10" ht="18.75">
      <c r="A20" s="401"/>
      <c r="B20" s="402"/>
      <c r="C20" s="402"/>
      <c r="D20" s="402"/>
      <c r="E20" s="402"/>
      <c r="F20" s="402"/>
      <c r="G20" s="402"/>
      <c r="H20" s="402"/>
      <c r="I20" s="402"/>
      <c r="J20" s="37"/>
    </row>
    <row r="21" spans="1:9" ht="18.75">
      <c r="A21" s="401" t="str">
        <f>'Тит. лист'!A26</f>
        <v> село Прохоровское</v>
      </c>
      <c r="B21" s="402"/>
      <c r="C21" s="402"/>
      <c r="D21" s="402"/>
      <c r="E21" s="402"/>
      <c r="F21" s="402"/>
      <c r="G21" s="402"/>
      <c r="H21" s="402"/>
      <c r="I21" s="402"/>
    </row>
    <row r="22" spans="1:9" ht="18.75">
      <c r="A22" s="401"/>
      <c r="B22" s="402"/>
      <c r="C22" s="402"/>
      <c r="D22" s="402"/>
      <c r="E22" s="402"/>
      <c r="F22" s="402"/>
      <c r="G22" s="402"/>
      <c r="H22" s="402"/>
      <c r="I22" s="402"/>
    </row>
    <row r="23" spans="1:9" ht="18.75">
      <c r="A23" s="401"/>
      <c r="B23" s="402"/>
      <c r="C23" s="402"/>
      <c r="D23" s="402"/>
      <c r="E23" s="402"/>
      <c r="F23" s="402"/>
      <c r="G23" s="402"/>
      <c r="H23" s="402"/>
      <c r="I23" s="402"/>
    </row>
    <row r="24" spans="1:9" ht="18.75">
      <c r="A24" s="401" t="str">
        <f>'Тит. лист'!A29</f>
        <v>Топливо – природный газ  </v>
      </c>
      <c r="B24" s="402"/>
      <c r="C24" s="402"/>
      <c r="D24" s="402"/>
      <c r="E24" s="402"/>
      <c r="F24" s="402"/>
      <c r="G24" s="402"/>
      <c r="H24" s="402"/>
      <c r="I24" s="402"/>
    </row>
    <row r="25" spans="1:9" ht="18.75">
      <c r="A25" s="401"/>
      <c r="B25" s="402"/>
      <c r="C25" s="402"/>
      <c r="D25" s="402"/>
      <c r="E25" s="402"/>
      <c r="F25" s="402"/>
      <c r="G25" s="402"/>
      <c r="H25" s="402"/>
      <c r="I25" s="402"/>
    </row>
    <row r="26" spans="1:9" ht="18.75">
      <c r="A26" s="401"/>
      <c r="B26" s="402"/>
      <c r="C26" s="402"/>
      <c r="D26" s="402"/>
      <c r="E26" s="402"/>
      <c r="F26" s="402"/>
      <c r="G26" s="402"/>
      <c r="H26" s="402"/>
      <c r="I26" s="402"/>
    </row>
    <row r="27" spans="1:9" ht="18.75">
      <c r="A27" s="401"/>
      <c r="B27" s="402"/>
      <c r="C27" s="402"/>
      <c r="D27" s="402"/>
      <c r="E27" s="402"/>
      <c r="F27" s="402"/>
      <c r="G27" s="402"/>
      <c r="H27" s="402"/>
      <c r="I27" s="402"/>
    </row>
    <row r="28" spans="1:9" ht="18.75">
      <c r="A28" s="1"/>
      <c r="C28" s="1"/>
      <c r="D28" s="22"/>
      <c r="E28" s="10"/>
      <c r="F28" s="1"/>
      <c r="G28" s="10"/>
      <c r="H28" s="1"/>
      <c r="I28" s="1"/>
    </row>
    <row r="29" spans="1:9" ht="18.75">
      <c r="A29" s="1"/>
      <c r="B29" s="1"/>
      <c r="C29" s="1"/>
      <c r="D29" s="1"/>
      <c r="E29" s="10"/>
      <c r="F29" s="1"/>
      <c r="G29" s="10"/>
      <c r="H29" s="1"/>
      <c r="I29" s="1"/>
    </row>
    <row r="30" spans="1:9" ht="18.75">
      <c r="A30" s="1"/>
      <c r="B30" s="1"/>
      <c r="C30" s="1"/>
      <c r="D30" s="22"/>
      <c r="E30" s="10"/>
      <c r="F30" s="1"/>
      <c r="G30" s="10"/>
      <c r="H30" s="1"/>
      <c r="I30" s="1"/>
    </row>
    <row r="31" spans="1:9" ht="18.75">
      <c r="A31" s="1"/>
      <c r="F31" s="1"/>
      <c r="G31" s="10"/>
      <c r="H31" s="1"/>
      <c r="I31" s="1"/>
    </row>
    <row r="32" spans="1:9" ht="18.75">
      <c r="A32" s="1"/>
      <c r="B32" s="1"/>
      <c r="C32" s="1"/>
      <c r="D32" s="1"/>
      <c r="E32" s="10"/>
      <c r="F32" s="1"/>
      <c r="G32" s="10"/>
      <c r="H32" s="1"/>
      <c r="I32" s="1"/>
    </row>
    <row r="33" spans="1:9" ht="39.75" customHeight="1">
      <c r="A33" s="336" t="s">
        <v>341</v>
      </c>
      <c r="B33" s="336" t="s">
        <v>342</v>
      </c>
      <c r="E33" s="25"/>
      <c r="F33" s="25"/>
      <c r="G33" s="25"/>
      <c r="H33" s="25"/>
      <c r="I33" s="25"/>
    </row>
    <row r="34" spans="1:9" ht="39" customHeight="1">
      <c r="A34" s="336" t="s">
        <v>345</v>
      </c>
      <c r="E34" s="290"/>
      <c r="F34" s="290"/>
      <c r="G34" s="290"/>
      <c r="H34" s="290"/>
      <c r="I34" s="290"/>
    </row>
    <row r="35" spans="1:9" ht="39" customHeight="1">
      <c r="A35" s="336" t="s">
        <v>344</v>
      </c>
      <c r="E35" s="337"/>
      <c r="F35" s="290"/>
      <c r="G35" s="290"/>
      <c r="H35" s="290"/>
      <c r="I35" s="290"/>
    </row>
    <row r="36" spans="1:7" ht="39" customHeight="1">
      <c r="A36" s="15"/>
      <c r="B36" s="8"/>
      <c r="C36" s="8"/>
      <c r="D36" s="8"/>
      <c r="E36" s="8"/>
      <c r="F36" s="8"/>
      <c r="G36" s="6"/>
    </row>
    <row r="37" spans="1:9" ht="15" customHeight="1">
      <c r="A37" s="15"/>
      <c r="B37" s="8"/>
      <c r="C37" s="8"/>
      <c r="D37" s="8"/>
      <c r="E37" s="8"/>
      <c r="F37" s="8"/>
      <c r="G37" s="8"/>
      <c r="H37" s="8"/>
      <c r="I37" s="1"/>
    </row>
    <row r="38" spans="1:8" ht="15" customHeight="1">
      <c r="A38" s="24"/>
      <c r="B38" s="6"/>
      <c r="C38" s="6"/>
      <c r="D38" s="6"/>
      <c r="E38" s="6"/>
      <c r="F38" s="6"/>
      <c r="G38" s="6"/>
      <c r="H38" s="6"/>
    </row>
    <row r="39" spans="1:9" ht="15" customHeight="1">
      <c r="A39" s="11"/>
      <c r="B39" s="24"/>
      <c r="C39" s="24"/>
      <c r="D39" s="24"/>
      <c r="E39" s="24"/>
      <c r="F39" s="24"/>
      <c r="G39" s="24"/>
      <c r="H39" s="24"/>
      <c r="I39" s="12"/>
    </row>
    <row r="40" spans="2:8" ht="15" customHeight="1">
      <c r="B40" s="6"/>
      <c r="C40" s="6"/>
      <c r="D40" s="6"/>
      <c r="E40" s="6"/>
      <c r="F40" s="6"/>
      <c r="G40" s="6"/>
      <c r="H40" s="6"/>
    </row>
    <row r="41" spans="2:10" ht="15" customHeight="1">
      <c r="B41" s="6"/>
      <c r="C41" s="6"/>
      <c r="D41" s="6"/>
      <c r="E41" s="6"/>
      <c r="F41" s="6"/>
      <c r="G41" s="6"/>
      <c r="H41" s="6"/>
      <c r="J41" s="45"/>
    </row>
    <row r="42" spans="2:8" ht="15" customHeight="1">
      <c r="B42" s="6"/>
      <c r="C42" s="6"/>
      <c r="D42" s="6"/>
      <c r="E42" s="6"/>
      <c r="F42" s="6"/>
      <c r="G42" s="6"/>
      <c r="H42" s="6"/>
    </row>
    <row r="43" spans="2:8" ht="15" customHeight="1">
      <c r="B43" s="6"/>
      <c r="C43" s="6"/>
      <c r="D43" s="6"/>
      <c r="E43" s="6"/>
      <c r="F43" s="6"/>
      <c r="G43" s="6"/>
      <c r="H43" s="6"/>
    </row>
    <row r="47" spans="1:9" ht="18.75">
      <c r="A47" s="1"/>
      <c r="B47" s="1"/>
      <c r="C47" s="1"/>
      <c r="D47" s="1"/>
      <c r="E47" s="1"/>
      <c r="F47" s="1"/>
      <c r="G47" s="1"/>
      <c r="H47" s="1"/>
      <c r="I47" s="1"/>
    </row>
  </sheetData>
  <mergeCells count="12">
    <mergeCell ref="A14:I14"/>
    <mergeCell ref="A17:I17"/>
    <mergeCell ref="A18:I18"/>
    <mergeCell ref="A21:I21"/>
    <mergeCell ref="A19:I19"/>
    <mergeCell ref="A20:I20"/>
    <mergeCell ref="A27:I27"/>
    <mergeCell ref="A22:I22"/>
    <mergeCell ref="A23:I23"/>
    <mergeCell ref="A24:I24"/>
    <mergeCell ref="A25:I25"/>
    <mergeCell ref="A26:I26"/>
  </mergeCells>
  <printOptions horizontalCentered="1"/>
  <pageMargins left="0.984251968503937" right="0.3937007874015748" top="0.7874015748031497" bottom="0.7874015748031497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0"/>
  <sheetViews>
    <sheetView showGridLines="0" zoomScale="75" zoomScaleNormal="75" workbookViewId="0" topLeftCell="A1">
      <selection activeCell="S30" sqref="A1:S30"/>
    </sheetView>
  </sheetViews>
  <sheetFormatPr defaultColWidth="9.00390625" defaultRowHeight="12.75"/>
  <cols>
    <col min="1" max="16384" width="5.875" style="0" customWidth="1"/>
  </cols>
  <sheetData>
    <row r="1" spans="4:22" ht="18.75">
      <c r="D1" s="11"/>
      <c r="E1" s="138" t="s">
        <v>185</v>
      </c>
      <c r="F1" s="11"/>
      <c r="G1" s="11"/>
      <c r="H1" s="11"/>
      <c r="I1" s="11"/>
      <c r="K1" s="11"/>
      <c r="L1" s="11"/>
      <c r="M1" s="11"/>
      <c r="N1" s="11"/>
      <c r="O1" s="11"/>
      <c r="P1" s="11"/>
      <c r="Q1" s="11"/>
      <c r="R1" s="238"/>
      <c r="S1" s="238"/>
      <c r="T1" s="238"/>
      <c r="U1" s="238"/>
      <c r="V1" s="238"/>
    </row>
    <row r="2" spans="18:21" ht="12.75">
      <c r="R2" s="6"/>
      <c r="S2" s="6"/>
      <c r="T2" s="6"/>
      <c r="U2" s="6"/>
    </row>
    <row r="3" spans="18:21" ht="12.75">
      <c r="R3" s="6"/>
      <c r="S3" s="6"/>
      <c r="T3" s="6"/>
      <c r="U3" s="6"/>
    </row>
    <row r="4" spans="18:21" ht="12.75">
      <c r="R4" s="6"/>
      <c r="S4" s="6"/>
      <c r="T4" s="6"/>
      <c r="U4" s="6"/>
    </row>
    <row r="5" spans="7:22" ht="18.75">
      <c r="G5" s="6"/>
      <c r="J5" s="6"/>
      <c r="K5" s="6"/>
      <c r="L5" s="6"/>
      <c r="M5" s="6"/>
      <c r="N5" s="6"/>
      <c r="P5" s="6"/>
      <c r="Q5" s="6"/>
      <c r="R5" s="6"/>
      <c r="S5" s="8"/>
      <c r="T5" s="8"/>
      <c r="U5" s="6"/>
      <c r="V5" s="6"/>
    </row>
    <row r="6" spans="1:19" ht="12.75">
      <c r="A6" s="6"/>
      <c r="B6" s="6"/>
      <c r="C6" s="6"/>
      <c r="D6" s="6"/>
      <c r="F6" s="6"/>
      <c r="G6" s="6"/>
      <c r="J6" s="6"/>
      <c r="K6" s="6"/>
      <c r="L6" s="6"/>
      <c r="M6" s="6"/>
      <c r="N6" s="6"/>
      <c r="O6" s="47"/>
      <c r="P6" s="46"/>
      <c r="Q6" s="6"/>
      <c r="R6" s="6"/>
      <c r="S6" s="6"/>
    </row>
    <row r="7" spans="2:19" ht="18.75">
      <c r="B7" s="336" t="s">
        <v>330</v>
      </c>
      <c r="C7" s="6"/>
      <c r="D7" s="6"/>
      <c r="F7" s="46"/>
      <c r="G7" s="6"/>
      <c r="J7" s="6"/>
      <c r="K7" s="6"/>
      <c r="L7" s="6"/>
      <c r="M7" s="6"/>
      <c r="N7" s="6"/>
      <c r="O7" s="47"/>
      <c r="P7" s="46"/>
      <c r="Q7" s="6"/>
      <c r="R7" s="6"/>
      <c r="S7" s="6"/>
    </row>
    <row r="8" spans="2:19" ht="12.75">
      <c r="B8" s="6"/>
      <c r="C8" s="6"/>
      <c r="D8" s="6"/>
      <c r="F8" s="46"/>
      <c r="G8" s="6"/>
      <c r="J8" s="6"/>
      <c r="K8" s="6"/>
      <c r="L8" s="6"/>
      <c r="M8" s="6"/>
      <c r="N8" s="6"/>
      <c r="O8" s="47"/>
      <c r="P8" s="46"/>
      <c r="Q8" s="6"/>
      <c r="R8" s="6"/>
      <c r="S8" s="6"/>
    </row>
    <row r="9" spans="2:19" ht="12.75">
      <c r="B9" s="6"/>
      <c r="C9" s="7"/>
      <c r="D9" s="7"/>
      <c r="F9" s="48"/>
      <c r="G9" s="6"/>
      <c r="J9" s="6"/>
      <c r="K9" s="6"/>
      <c r="L9" s="6"/>
      <c r="M9" s="6"/>
      <c r="N9" s="6"/>
      <c r="O9" s="204"/>
      <c r="P9" s="48"/>
      <c r="Q9" s="7"/>
      <c r="R9" s="6"/>
      <c r="S9" s="6"/>
    </row>
    <row r="10" spans="2:19" ht="12.75">
      <c r="B10" s="6"/>
      <c r="C10" s="6"/>
      <c r="D10" s="6"/>
      <c r="E10" s="49"/>
      <c r="F10" s="49"/>
      <c r="G10" s="49"/>
      <c r="H10" s="49"/>
      <c r="I10" s="47"/>
      <c r="J10" s="6"/>
      <c r="K10" s="6"/>
      <c r="L10" s="6"/>
      <c r="M10" s="6"/>
      <c r="N10" s="46"/>
      <c r="O10" s="16"/>
      <c r="P10" s="49"/>
      <c r="Q10" s="49"/>
      <c r="R10" s="6"/>
      <c r="S10" s="6"/>
    </row>
    <row r="11" spans="9:20" ht="12.75">
      <c r="I11" s="47"/>
      <c r="J11" s="6"/>
      <c r="K11" s="6"/>
      <c r="L11" s="6"/>
      <c r="M11" s="6"/>
      <c r="N11" s="46"/>
      <c r="O11" s="47"/>
      <c r="P11" s="6"/>
      <c r="Q11" s="6"/>
      <c r="R11" s="6"/>
      <c r="S11" s="6"/>
      <c r="T11" s="6"/>
    </row>
    <row r="12" spans="5:19" ht="12.75">
      <c r="E12" s="6"/>
      <c r="I12" s="47"/>
      <c r="J12" s="6"/>
      <c r="K12" s="50"/>
      <c r="L12" s="6"/>
      <c r="M12" s="6"/>
      <c r="N12" s="46"/>
      <c r="O12" s="47"/>
      <c r="P12" s="6"/>
      <c r="Q12" s="6"/>
      <c r="R12" s="50"/>
      <c r="S12" s="6"/>
    </row>
    <row r="13" spans="1:18" ht="18.75">
      <c r="A13" s="29" t="s">
        <v>45</v>
      </c>
      <c r="B13" s="29"/>
      <c r="C13" s="29"/>
      <c r="G13" s="6"/>
      <c r="H13" s="46"/>
      <c r="I13" s="47"/>
      <c r="J13" s="6"/>
      <c r="K13" s="243"/>
      <c r="L13" s="6"/>
      <c r="M13" s="6"/>
      <c r="N13" s="46"/>
      <c r="O13" s="47"/>
      <c r="P13" s="6"/>
      <c r="Q13" s="6"/>
      <c r="R13" s="4"/>
    </row>
    <row r="14" spans="1:17" ht="18.75">
      <c r="A14" s="1" t="s">
        <v>46</v>
      </c>
      <c r="B14" s="1"/>
      <c r="C14" s="1"/>
      <c r="F14" s="6"/>
      <c r="G14" s="6"/>
      <c r="H14" s="46"/>
      <c r="I14" s="47"/>
      <c r="J14" s="6"/>
      <c r="K14" s="6"/>
      <c r="L14" s="6"/>
      <c r="M14" s="6"/>
      <c r="N14" s="46"/>
      <c r="O14" s="47"/>
      <c r="P14" s="6"/>
      <c r="Q14" s="6"/>
    </row>
    <row r="15" spans="4:17" ht="15" customHeight="1" thickBot="1">
      <c r="D15" s="47"/>
      <c r="E15" s="46"/>
      <c r="F15" s="6"/>
      <c r="G15" s="6"/>
      <c r="H15" s="46"/>
      <c r="I15" s="213"/>
      <c r="J15" s="55"/>
      <c r="L15" s="6"/>
      <c r="M15" s="6"/>
      <c r="O15" s="213"/>
      <c r="P15" s="55"/>
      <c r="Q15" s="6"/>
    </row>
    <row r="16" spans="4:19" ht="12.75" customHeight="1">
      <c r="D16" s="47"/>
      <c r="E16" s="46"/>
      <c r="F16" s="6"/>
      <c r="G16" s="6"/>
      <c r="H16" s="205"/>
      <c r="I16" s="51"/>
      <c r="J16" s="51"/>
      <c r="K16" s="51"/>
      <c r="L16" s="51"/>
      <c r="M16" s="51"/>
      <c r="N16" s="51"/>
      <c r="O16" s="214"/>
      <c r="P16" s="51"/>
      <c r="Q16" s="51"/>
      <c r="R16" s="51"/>
      <c r="S16" s="51"/>
    </row>
    <row r="17" spans="4:19" ht="13.5" thickBot="1">
      <c r="D17" s="47"/>
      <c r="E17" s="46"/>
      <c r="F17" s="6"/>
      <c r="H17" s="206"/>
      <c r="I17" s="6"/>
      <c r="J17" s="6"/>
      <c r="K17" s="6"/>
      <c r="L17" s="6"/>
      <c r="M17" s="6"/>
      <c r="O17" s="47"/>
      <c r="P17" s="6"/>
      <c r="Q17" s="6"/>
      <c r="R17" s="6"/>
      <c r="S17" s="6"/>
    </row>
    <row r="18" spans="1:19" ht="12.75">
      <c r="A18" s="7"/>
      <c r="B18" s="7"/>
      <c r="C18" s="7"/>
      <c r="D18" s="204"/>
      <c r="E18" s="48"/>
      <c r="F18" s="7"/>
      <c r="G18" s="52"/>
      <c r="H18" s="206"/>
      <c r="I18" s="6"/>
      <c r="J18" s="6"/>
      <c r="K18" s="6"/>
      <c r="L18" s="6"/>
      <c r="M18" s="6"/>
      <c r="O18" s="47"/>
      <c r="P18" s="6"/>
      <c r="Q18" s="6"/>
      <c r="R18" s="6"/>
      <c r="S18" s="6"/>
    </row>
    <row r="19" spans="7:19" ht="12.75">
      <c r="G19" s="53"/>
      <c r="H19" s="54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7:19" ht="12.75">
      <c r="G20" s="53"/>
      <c r="H20" s="54"/>
      <c r="I20" s="6"/>
      <c r="J20" s="6"/>
      <c r="K20" s="6"/>
      <c r="L20" s="6"/>
      <c r="M20" s="6"/>
      <c r="N20" s="6"/>
      <c r="O20" s="6"/>
      <c r="P20" s="6" t="s">
        <v>227</v>
      </c>
      <c r="Q20" s="6"/>
      <c r="R20" s="6"/>
      <c r="S20" s="6"/>
    </row>
    <row r="21" spans="7:19" ht="12.75">
      <c r="G21" s="53"/>
      <c r="H21" s="54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2:19" ht="19.5" thickBot="1">
      <c r="B22" s="1"/>
      <c r="C22" s="1"/>
      <c r="G22" s="53"/>
      <c r="H22" s="54"/>
      <c r="I22" s="6"/>
      <c r="J22" s="6"/>
      <c r="K22" s="6"/>
      <c r="L22" s="6"/>
      <c r="M22" s="6"/>
      <c r="N22" s="6"/>
      <c r="O22" s="6"/>
      <c r="P22" s="6"/>
      <c r="Q22" s="6"/>
      <c r="R22" s="55"/>
      <c r="S22" s="55"/>
    </row>
    <row r="23" spans="1:18" ht="18.75">
      <c r="A23" s="1" t="s">
        <v>47</v>
      </c>
      <c r="G23" s="53"/>
      <c r="H23" s="54"/>
      <c r="I23" s="6"/>
      <c r="J23" s="6"/>
      <c r="K23" s="6"/>
      <c r="L23" s="6"/>
      <c r="M23" s="6"/>
      <c r="N23" s="6"/>
      <c r="O23" s="56"/>
      <c r="P23" s="60"/>
      <c r="Q23" s="51"/>
      <c r="R23" s="51"/>
    </row>
    <row r="24" spans="4:15" ht="12.75">
      <c r="D24" s="47"/>
      <c r="E24" s="6"/>
      <c r="F24" s="56"/>
      <c r="G24" s="53"/>
      <c r="H24" s="54"/>
      <c r="I24" s="6"/>
      <c r="J24" s="6"/>
      <c r="K24" s="6"/>
      <c r="L24" s="6"/>
      <c r="M24" s="6"/>
      <c r="N24" s="6"/>
      <c r="O24" s="56"/>
    </row>
    <row r="25" spans="1:15" ht="12.75">
      <c r="A25" s="6"/>
      <c r="B25" s="6"/>
      <c r="C25" s="46"/>
      <c r="D25" s="47"/>
      <c r="E25" s="6"/>
      <c r="F25" s="56"/>
      <c r="G25" s="53"/>
      <c r="H25" s="54"/>
      <c r="I25" s="6"/>
      <c r="J25" s="6"/>
      <c r="K25" s="6"/>
      <c r="L25" s="6"/>
      <c r="M25" s="6"/>
      <c r="N25" s="6"/>
      <c r="O25" s="56"/>
    </row>
    <row r="26" spans="1:15" ht="12.75">
      <c r="A26" s="7"/>
      <c r="B26" s="7"/>
      <c r="C26" s="48"/>
      <c r="D26" s="204"/>
      <c r="E26" s="7"/>
      <c r="F26" s="283"/>
      <c r="G26" s="53"/>
      <c r="H26" s="54"/>
      <c r="I26" s="6"/>
      <c r="J26" s="6"/>
      <c r="K26" s="6"/>
      <c r="L26" s="6"/>
      <c r="M26" s="6"/>
      <c r="N26" s="6"/>
      <c r="O26" s="56"/>
    </row>
    <row r="27" spans="7:15" ht="13.5" thickBot="1">
      <c r="G27" s="57"/>
      <c r="H27" s="54"/>
      <c r="I27" s="6"/>
      <c r="J27" s="6"/>
      <c r="K27" s="6"/>
      <c r="L27" s="6"/>
      <c r="O27" s="56"/>
    </row>
    <row r="28" spans="8:15" ht="12.75">
      <c r="H28" s="54"/>
      <c r="I28" s="6"/>
      <c r="J28" s="6"/>
      <c r="K28" s="6"/>
      <c r="L28" s="6"/>
      <c r="O28" s="56"/>
    </row>
    <row r="29" spans="8:15" ht="9" customHeight="1" thickBot="1">
      <c r="H29" s="58"/>
      <c r="I29" s="55"/>
      <c r="J29" s="55"/>
      <c r="K29" s="55"/>
      <c r="L29" s="55"/>
      <c r="M29" s="55"/>
      <c r="N29" s="55"/>
      <c r="O29" s="59"/>
    </row>
    <row r="30" spans="7:17" ht="10.5" customHeight="1">
      <c r="G30" s="405" t="s">
        <v>48</v>
      </c>
      <c r="H30" s="406"/>
      <c r="I30" s="406"/>
      <c r="J30" s="406"/>
      <c r="K30" s="406"/>
      <c r="L30" s="406"/>
      <c r="M30" s="406"/>
      <c r="N30" s="406"/>
      <c r="O30" s="406"/>
      <c r="P30" s="405"/>
      <c r="Q30" s="14"/>
    </row>
  </sheetData>
  <mergeCells count="1">
    <mergeCell ref="G30:P30"/>
  </mergeCells>
  <printOptions horizontalCentered="1" verticalCentered="1"/>
  <pageMargins left="0.7874015748031497" right="0.1968503937007874" top="0.984251968503937" bottom="0.1968503937007874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8"/>
  <sheetViews>
    <sheetView showGridLines="0" zoomScale="75" zoomScaleNormal="75" zoomScaleSheetLayoutView="100" workbookViewId="0" topLeftCell="D1">
      <selection activeCell="E29" sqref="A1:E29"/>
    </sheetView>
  </sheetViews>
  <sheetFormatPr defaultColWidth="9.00390625" defaultRowHeight="12.75"/>
  <cols>
    <col min="1" max="1" width="26.625" style="0" customWidth="1"/>
    <col min="2" max="2" width="22.00390625" style="0" customWidth="1"/>
    <col min="3" max="3" width="12.375" style="0" customWidth="1"/>
    <col min="4" max="4" width="12.875" style="0" customWidth="1"/>
    <col min="5" max="5" width="10.75390625" style="0" customWidth="1"/>
    <col min="6" max="6" width="10.25390625" style="0" customWidth="1"/>
    <col min="7" max="7" width="10.00390625" style="0" customWidth="1"/>
    <col min="8" max="8" width="10.625" style="0" customWidth="1"/>
    <col min="9" max="9" width="10.375" style="0" customWidth="1"/>
    <col min="10" max="10" width="5.625" style="0" customWidth="1"/>
    <col min="11" max="11" width="11.375" style="0" customWidth="1"/>
  </cols>
  <sheetData>
    <row r="1" spans="1:9" ht="19.5">
      <c r="A1" s="138" t="s">
        <v>186</v>
      </c>
      <c r="B1" s="216"/>
      <c r="C1" s="216"/>
      <c r="E1" s="216"/>
      <c r="F1" s="216"/>
      <c r="G1" s="5"/>
      <c r="H1" s="5"/>
      <c r="I1" s="5"/>
    </row>
    <row r="2" spans="1:9" ht="19.5">
      <c r="A2" s="138"/>
      <c r="B2" s="216"/>
      <c r="C2" s="216"/>
      <c r="E2" s="216"/>
      <c r="F2" s="216"/>
      <c r="G2" s="5"/>
      <c r="H2" s="5"/>
      <c r="I2" s="5"/>
    </row>
    <row r="3" spans="1:6" ht="18.75">
      <c r="A3" s="1"/>
      <c r="B3" s="1"/>
      <c r="C3" s="1"/>
      <c r="D3" s="1"/>
      <c r="E3" s="1"/>
      <c r="F3" s="1"/>
    </row>
    <row r="4" spans="1:6" ht="18.75">
      <c r="A4" s="1"/>
      <c r="B4" s="1"/>
      <c r="C4" s="1"/>
      <c r="D4" s="1"/>
      <c r="E4" s="1"/>
      <c r="F4" s="1"/>
    </row>
    <row r="5" spans="1:7" ht="22.5" customHeight="1">
      <c r="A5" s="154" t="s">
        <v>14</v>
      </c>
      <c r="B5" s="157" t="s">
        <v>0</v>
      </c>
      <c r="C5" s="154" t="s">
        <v>118</v>
      </c>
      <c r="D5" s="154" t="s">
        <v>2</v>
      </c>
      <c r="E5" s="154" t="s">
        <v>5</v>
      </c>
      <c r="G5" s="158" t="s">
        <v>7</v>
      </c>
    </row>
    <row r="6" spans="1:7" ht="18.75">
      <c r="A6" s="159" t="s">
        <v>15</v>
      </c>
      <c r="B6" s="160" t="s">
        <v>1</v>
      </c>
      <c r="C6" s="159" t="s">
        <v>119</v>
      </c>
      <c r="D6" s="159" t="s">
        <v>169</v>
      </c>
      <c r="E6" s="159" t="s">
        <v>6</v>
      </c>
      <c r="G6" s="161" t="s">
        <v>11</v>
      </c>
    </row>
    <row r="7" spans="1:7" ht="18.75">
      <c r="A7" s="162"/>
      <c r="B7" s="160"/>
      <c r="C7" s="162" t="s">
        <v>1</v>
      </c>
      <c r="D7" s="159" t="s">
        <v>3</v>
      </c>
      <c r="E7" s="159"/>
      <c r="G7" s="161" t="s">
        <v>8</v>
      </c>
    </row>
    <row r="8" spans="1:7" ht="18.75">
      <c r="A8" s="163"/>
      <c r="B8" s="152"/>
      <c r="C8" s="164"/>
      <c r="D8" s="163" t="s">
        <v>4</v>
      </c>
      <c r="E8" s="163"/>
      <c r="G8" s="165" t="s">
        <v>9</v>
      </c>
    </row>
    <row r="9" spans="1:7" ht="27" customHeight="1">
      <c r="A9" s="359" t="s">
        <v>226</v>
      </c>
      <c r="B9" s="360" t="s">
        <v>297</v>
      </c>
      <c r="C9" s="361" t="s">
        <v>298</v>
      </c>
      <c r="D9" s="361" t="s">
        <v>261</v>
      </c>
      <c r="E9" s="362" t="s">
        <v>163</v>
      </c>
      <c r="G9" s="161"/>
    </row>
    <row r="10" spans="1:15" ht="18.75" customHeight="1">
      <c r="A10" s="236"/>
      <c r="B10" s="32" t="s">
        <v>285</v>
      </c>
      <c r="C10" s="32"/>
      <c r="D10" s="32"/>
      <c r="E10" s="246"/>
      <c r="G10" s="161"/>
      <c r="K10" s="207" t="s">
        <v>214</v>
      </c>
      <c r="L10" s="33" t="s">
        <v>210</v>
      </c>
      <c r="M10" s="27"/>
      <c r="N10" s="27"/>
      <c r="O10" s="30"/>
    </row>
    <row r="11" spans="1:15" ht="27" customHeight="1">
      <c r="A11" s="235" t="s">
        <v>287</v>
      </c>
      <c r="B11" s="341" t="s">
        <v>216</v>
      </c>
      <c r="C11" s="341"/>
      <c r="D11" s="341"/>
      <c r="E11" s="342"/>
      <c r="K11" s="209"/>
      <c r="L11" s="3"/>
      <c r="M11" s="27"/>
      <c r="N11" s="27"/>
      <c r="O11" s="30"/>
    </row>
    <row r="12" spans="1:15" ht="18.75" customHeight="1">
      <c r="A12" s="236" t="s">
        <v>286</v>
      </c>
      <c r="B12" s="343" t="s">
        <v>332</v>
      </c>
      <c r="C12" s="343" t="s">
        <v>299</v>
      </c>
      <c r="D12" s="343" t="s">
        <v>300</v>
      </c>
      <c r="E12" s="344">
        <v>1.5</v>
      </c>
      <c r="K12" s="209"/>
      <c r="L12" s="3"/>
      <c r="M12" s="27"/>
      <c r="N12" s="27"/>
      <c r="O12" s="30"/>
    </row>
    <row r="13" spans="1:15" ht="27" customHeight="1">
      <c r="A13" s="207" t="s">
        <v>288</v>
      </c>
      <c r="B13" s="33" t="s">
        <v>10</v>
      </c>
      <c r="C13" s="33"/>
      <c r="D13" s="33"/>
      <c r="E13" s="34"/>
      <c r="K13" s="209"/>
      <c r="L13" s="3"/>
      <c r="M13" s="27"/>
      <c r="N13" s="27"/>
      <c r="O13" s="30"/>
    </row>
    <row r="14" spans="1:15" ht="18.75" customHeight="1">
      <c r="A14" s="208" t="s">
        <v>199</v>
      </c>
      <c r="B14" s="32" t="s">
        <v>136</v>
      </c>
      <c r="C14" s="32" t="s">
        <v>140</v>
      </c>
      <c r="D14" s="32" t="s">
        <v>139</v>
      </c>
      <c r="E14" s="246" t="s">
        <v>163</v>
      </c>
      <c r="G14" s="161"/>
      <c r="K14" s="208"/>
      <c r="L14" s="228" t="s">
        <v>209</v>
      </c>
      <c r="M14" s="32" t="s">
        <v>211</v>
      </c>
      <c r="N14" s="32" t="s">
        <v>212</v>
      </c>
      <c r="O14" s="246" t="s">
        <v>163</v>
      </c>
    </row>
    <row r="15" spans="1:17" ht="27" customHeight="1">
      <c r="A15" s="207" t="s">
        <v>293</v>
      </c>
      <c r="B15" s="33" t="s">
        <v>173</v>
      </c>
      <c r="C15" s="266"/>
      <c r="D15" s="266"/>
      <c r="E15" s="267"/>
      <c r="G15" s="203" t="s">
        <v>158</v>
      </c>
      <c r="Q15" s="161"/>
    </row>
    <row r="16" spans="1:17" ht="18.75" customHeight="1">
      <c r="A16" s="209" t="s">
        <v>172</v>
      </c>
      <c r="B16" s="27" t="s">
        <v>197</v>
      </c>
      <c r="C16" s="247"/>
      <c r="D16" s="247"/>
      <c r="E16" s="248"/>
      <c r="G16" s="30"/>
      <c r="Q16" s="161"/>
    </row>
    <row r="17" spans="1:7" ht="18.75" customHeight="1">
      <c r="A17" s="254"/>
      <c r="B17" s="32" t="s">
        <v>174</v>
      </c>
      <c r="C17" s="268" t="s">
        <v>163</v>
      </c>
      <c r="D17" s="268" t="s">
        <v>163</v>
      </c>
      <c r="E17" s="269" t="s">
        <v>39</v>
      </c>
      <c r="G17" s="203" t="s">
        <v>158</v>
      </c>
    </row>
    <row r="18" spans="1:7" ht="27" customHeight="1">
      <c r="A18" s="235" t="s">
        <v>292</v>
      </c>
      <c r="B18" s="33" t="s">
        <v>302</v>
      </c>
      <c r="C18" s="366"/>
      <c r="D18" s="33"/>
      <c r="E18" s="34"/>
      <c r="G18" s="30"/>
    </row>
    <row r="19" spans="1:7" ht="18.75" customHeight="1">
      <c r="A19" s="236" t="s">
        <v>301</v>
      </c>
      <c r="B19" s="32" t="s">
        <v>303</v>
      </c>
      <c r="C19" s="367" t="s">
        <v>331</v>
      </c>
      <c r="D19" s="367" t="s">
        <v>304</v>
      </c>
      <c r="E19" s="344">
        <v>2.5</v>
      </c>
      <c r="G19" s="30"/>
    </row>
    <row r="20" spans="1:15" ht="27" customHeight="1">
      <c r="A20" s="207" t="s">
        <v>221</v>
      </c>
      <c r="B20" s="27" t="s">
        <v>305</v>
      </c>
      <c r="C20" s="341"/>
      <c r="D20" s="341"/>
      <c r="E20" s="342"/>
      <c r="G20" s="34"/>
      <c r="K20" s="235" t="s">
        <v>217</v>
      </c>
      <c r="L20" s="33" t="s">
        <v>216</v>
      </c>
      <c r="M20" s="33"/>
      <c r="N20" s="33"/>
      <c r="O20" s="34"/>
    </row>
    <row r="21" spans="1:15" ht="18.75" customHeight="1">
      <c r="A21" s="209" t="s">
        <v>200</v>
      </c>
      <c r="B21" s="32" t="s">
        <v>306</v>
      </c>
      <c r="C21" s="32" t="s">
        <v>328</v>
      </c>
      <c r="D21" s="32" t="s">
        <v>329</v>
      </c>
      <c r="E21" s="269" t="s">
        <v>309</v>
      </c>
      <c r="G21" s="203" t="s">
        <v>144</v>
      </c>
      <c r="K21" s="236" t="s">
        <v>215</v>
      </c>
      <c r="L21" s="32" t="s">
        <v>218</v>
      </c>
      <c r="M21" s="32" t="s">
        <v>219</v>
      </c>
      <c r="N21" s="32" t="s">
        <v>220</v>
      </c>
      <c r="O21" s="269" t="s">
        <v>213</v>
      </c>
    </row>
    <row r="22" spans="1:7" ht="27" customHeight="1">
      <c r="A22" s="207" t="s">
        <v>275</v>
      </c>
      <c r="B22" s="341" t="s">
        <v>237</v>
      </c>
      <c r="C22" s="341"/>
      <c r="D22" s="341"/>
      <c r="E22" s="342"/>
      <c r="G22" s="30"/>
    </row>
    <row r="23" spans="1:7" ht="18.75" customHeight="1">
      <c r="A23" s="208" t="s">
        <v>201</v>
      </c>
      <c r="B23" s="343" t="s">
        <v>238</v>
      </c>
      <c r="C23" s="343" t="s">
        <v>232</v>
      </c>
      <c r="D23" s="343" t="s">
        <v>139</v>
      </c>
      <c r="E23" s="344">
        <v>1.5</v>
      </c>
      <c r="G23" s="30"/>
    </row>
    <row r="24" spans="1:7" ht="27" customHeight="1">
      <c r="A24" s="209" t="s">
        <v>276</v>
      </c>
      <c r="B24" s="27" t="s">
        <v>305</v>
      </c>
      <c r="C24" s="27"/>
      <c r="D24" s="27"/>
      <c r="E24" s="30"/>
      <c r="G24" s="30"/>
    </row>
    <row r="25" spans="1:7" ht="18.75" customHeight="1">
      <c r="A25" s="209" t="s">
        <v>201</v>
      </c>
      <c r="B25" s="32" t="s">
        <v>306</v>
      </c>
      <c r="C25" s="32" t="s">
        <v>307</v>
      </c>
      <c r="D25" s="32" t="s">
        <v>308</v>
      </c>
      <c r="E25" s="269" t="s">
        <v>309</v>
      </c>
      <c r="G25" s="30"/>
    </row>
    <row r="26" spans="1:7" ht="27" customHeight="1">
      <c r="A26" s="207" t="s">
        <v>228</v>
      </c>
      <c r="B26" s="33" t="s">
        <v>12</v>
      </c>
      <c r="C26" s="139" t="s">
        <v>164</v>
      </c>
      <c r="D26" s="363" t="s">
        <v>167</v>
      </c>
      <c r="E26" s="245" t="s">
        <v>39</v>
      </c>
      <c r="G26" s="34" t="s">
        <v>143</v>
      </c>
    </row>
    <row r="27" spans="1:7" ht="18.75" customHeight="1">
      <c r="A27" s="209" t="s">
        <v>203</v>
      </c>
      <c r="B27" s="27" t="s">
        <v>13</v>
      </c>
      <c r="C27" s="31" t="s">
        <v>165</v>
      </c>
      <c r="D27" s="27" t="s">
        <v>277</v>
      </c>
      <c r="E27" s="30"/>
      <c r="G27" s="30"/>
    </row>
    <row r="28" spans="1:7" ht="18.75" customHeight="1">
      <c r="A28" s="209" t="s">
        <v>202</v>
      </c>
      <c r="B28" s="27" t="s">
        <v>278</v>
      </c>
      <c r="C28" s="31" t="s">
        <v>279</v>
      </c>
      <c r="D28" s="27" t="s">
        <v>277</v>
      </c>
      <c r="E28" s="30"/>
      <c r="G28" s="30"/>
    </row>
    <row r="29" spans="1:7" ht="18.75" customHeight="1">
      <c r="A29" s="211" t="s">
        <v>280</v>
      </c>
      <c r="B29" s="35"/>
      <c r="C29" s="32" t="s">
        <v>166</v>
      </c>
      <c r="D29" s="32" t="s">
        <v>168</v>
      </c>
      <c r="E29" s="212"/>
      <c r="G29" s="210"/>
    </row>
    <row r="30" ht="18.75" customHeight="1"/>
    <row r="36" spans="1:6" ht="18.75">
      <c r="A36" s="1"/>
      <c r="B36" s="1"/>
      <c r="C36" s="1"/>
      <c r="D36" s="1"/>
      <c r="E36" s="1"/>
      <c r="F36" s="1"/>
    </row>
    <row r="37" spans="1:6" ht="18.75">
      <c r="A37" s="1"/>
      <c r="B37" s="1"/>
      <c r="C37" s="1"/>
      <c r="D37" s="1"/>
      <c r="E37" s="1"/>
      <c r="F37" s="1"/>
    </row>
    <row r="38" spans="1:6" ht="18.75">
      <c r="A38" s="1"/>
      <c r="B38" s="1"/>
      <c r="C38" s="1"/>
      <c r="D38" s="1"/>
      <c r="E38" s="1"/>
      <c r="F38" s="1"/>
    </row>
    <row r="39" spans="1:6" ht="18.75">
      <c r="A39" s="1"/>
      <c r="B39" s="1"/>
      <c r="C39" s="1"/>
      <c r="D39" s="1"/>
      <c r="E39" s="1"/>
      <c r="F39" s="1"/>
    </row>
    <row r="40" spans="1:6" ht="18.75">
      <c r="A40" s="1"/>
      <c r="B40" s="1"/>
      <c r="C40" s="1"/>
      <c r="D40" s="1"/>
      <c r="E40" s="1"/>
      <c r="F40" s="1"/>
    </row>
    <row r="41" spans="1:6" ht="18.75">
      <c r="A41" s="1"/>
      <c r="B41" s="1"/>
      <c r="C41" s="1"/>
      <c r="D41" s="1"/>
      <c r="E41" s="1"/>
      <c r="F41" s="1"/>
    </row>
    <row r="42" spans="1:6" ht="18.75">
      <c r="A42" s="1"/>
      <c r="B42" s="1"/>
      <c r="C42" s="1"/>
      <c r="D42" s="1"/>
      <c r="E42" s="1"/>
      <c r="F42" s="1"/>
    </row>
    <row r="43" spans="1:6" ht="18.75">
      <c r="A43" s="1"/>
      <c r="B43" s="1"/>
      <c r="C43" s="1"/>
      <c r="D43" s="1"/>
      <c r="E43" s="1"/>
      <c r="F43" s="1"/>
    </row>
    <row r="44" spans="1:6" ht="18.75">
      <c r="A44" s="1"/>
      <c r="B44" s="1"/>
      <c r="C44" s="1"/>
      <c r="D44" s="1"/>
      <c r="E44" s="1"/>
      <c r="F44" s="1"/>
    </row>
    <row r="45" spans="1:6" ht="18.75">
      <c r="A45" s="1"/>
      <c r="B45" s="1"/>
      <c r="C45" s="1"/>
      <c r="D45" s="1"/>
      <c r="E45" s="1"/>
      <c r="F45" s="1"/>
    </row>
    <row r="46" spans="1:6" ht="18.75">
      <c r="A46" s="1"/>
      <c r="B46" s="1"/>
      <c r="C46" s="1"/>
      <c r="D46" s="1"/>
      <c r="E46" s="1"/>
      <c r="F46" s="1"/>
    </row>
    <row r="47" spans="1:6" ht="18.75">
      <c r="A47" s="1"/>
      <c r="B47" s="1"/>
      <c r="C47" s="1"/>
      <c r="D47" s="1"/>
      <c r="E47" s="1"/>
      <c r="F47" s="1"/>
    </row>
    <row r="48" spans="1:6" ht="18.75">
      <c r="A48" s="1"/>
      <c r="B48" s="1"/>
      <c r="C48" s="1"/>
      <c r="D48" s="1"/>
      <c r="E48" s="1"/>
      <c r="F48" s="1"/>
    </row>
  </sheetData>
  <printOptions horizontalCentered="1"/>
  <pageMargins left="0.7874015748031497" right="0.1968503937007874" top="0.3937007874015748" bottom="0.984251968503937" header="0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93"/>
  <sheetViews>
    <sheetView showGridLines="0" zoomScale="75" zoomScaleNormal="75" workbookViewId="0" topLeftCell="A34">
      <selection activeCell="BA81" sqref="B1:BE81"/>
    </sheetView>
  </sheetViews>
  <sheetFormatPr defaultColWidth="9.00390625" defaultRowHeight="7.5" customHeight="1"/>
  <cols>
    <col min="1" max="16384" width="1.75390625" style="29" customWidth="1"/>
  </cols>
  <sheetData>
    <row r="1" spans="1:149" ht="18" customHeight="1">
      <c r="A1" s="143"/>
      <c r="B1" s="143"/>
      <c r="C1" s="143"/>
      <c r="D1" s="143"/>
      <c r="E1" s="143"/>
      <c r="F1" s="143"/>
      <c r="G1" s="143"/>
      <c r="H1" s="143"/>
      <c r="J1" s="143"/>
      <c r="K1" s="143"/>
      <c r="L1" s="143"/>
      <c r="M1" s="143"/>
      <c r="N1" s="143"/>
      <c r="O1" s="143"/>
      <c r="P1" s="143"/>
      <c r="Q1" s="138" t="s">
        <v>195</v>
      </c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</row>
    <row r="2" spans="1:149" ht="18" customHeight="1">
      <c r="A2" s="143"/>
      <c r="B2" s="143"/>
      <c r="C2" s="143"/>
      <c r="D2" s="143"/>
      <c r="E2" s="143"/>
      <c r="F2" s="143"/>
      <c r="G2" s="143"/>
      <c r="H2" s="143"/>
      <c r="J2" s="143"/>
      <c r="K2" s="143"/>
      <c r="L2" s="143"/>
      <c r="M2" s="143"/>
      <c r="N2" s="143"/>
      <c r="O2" s="143"/>
      <c r="P2" s="143"/>
      <c r="Q2" s="138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</row>
    <row r="3" spans="1:149" ht="18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</row>
    <row r="4" spans="7:149" ht="8.25" customHeight="1">
      <c r="G4" s="155"/>
      <c r="H4" s="155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</row>
    <row r="5" spans="7:149" ht="8.25" customHeight="1"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AB5" s="28"/>
      <c r="AC5" s="28"/>
      <c r="AD5" s="28"/>
      <c r="AE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</row>
    <row r="6" spans="7:149" ht="8.25" customHeight="1"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AB6" s="28"/>
      <c r="AC6" s="28"/>
      <c r="AD6" s="28"/>
      <c r="AE6" s="28"/>
      <c r="AG6" s="28"/>
      <c r="AH6" s="28"/>
      <c r="AI6" s="28"/>
      <c r="AJ6" s="28"/>
      <c r="AK6" s="28"/>
      <c r="AL6" s="28"/>
      <c r="AM6" s="28"/>
      <c r="AN6" s="28"/>
      <c r="AQ6" s="435" t="s">
        <v>310</v>
      </c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</row>
    <row r="7" spans="7:149" ht="8.25" customHeight="1"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AB7" s="28"/>
      <c r="AC7" s="28"/>
      <c r="AD7" s="28"/>
      <c r="AE7" s="28"/>
      <c r="AG7" s="28"/>
      <c r="AH7" s="28"/>
      <c r="AI7" s="28"/>
      <c r="AJ7" s="28"/>
      <c r="AK7" s="28"/>
      <c r="AL7" s="28"/>
      <c r="AM7" s="28"/>
      <c r="AN7" s="28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</row>
    <row r="8" spans="7:149" ht="8.25" customHeight="1"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AB8" s="28"/>
      <c r="AC8" s="28"/>
      <c r="AD8" s="28"/>
      <c r="AE8" s="28"/>
      <c r="AG8" s="28"/>
      <c r="AH8" s="28"/>
      <c r="AI8" s="28"/>
      <c r="AJ8" s="28"/>
      <c r="AK8" s="28"/>
      <c r="AL8" s="28"/>
      <c r="AM8" s="28"/>
      <c r="AN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</row>
    <row r="9" spans="7:149" ht="8.25" customHeight="1"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AB9" s="28"/>
      <c r="AC9" s="28"/>
      <c r="AD9" s="28"/>
      <c r="AE9" s="28"/>
      <c r="AG9" s="28"/>
      <c r="AH9" s="28"/>
      <c r="AI9" s="28"/>
      <c r="AJ9" s="28"/>
      <c r="AK9" s="28"/>
      <c r="AL9" s="28"/>
      <c r="AM9" s="28"/>
      <c r="AN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DA9" s="28"/>
      <c r="DB9" s="28"/>
      <c r="DC9" s="28"/>
      <c r="DD9" s="28"/>
      <c r="DE9" s="28"/>
      <c r="DF9" s="28"/>
      <c r="DG9" s="28"/>
      <c r="DH9" s="28"/>
      <c r="DI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</row>
    <row r="10" spans="6:149" ht="8.25" customHeight="1"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28"/>
      <c r="S10" s="28"/>
      <c r="T10" s="28"/>
      <c r="U10" s="28"/>
      <c r="V10" s="28"/>
      <c r="AB10" s="28"/>
      <c r="AC10" s="28"/>
      <c r="AD10" s="28"/>
      <c r="AE10" s="28"/>
      <c r="AL10" s="28"/>
      <c r="AM10" s="28"/>
      <c r="AN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DA10" s="28"/>
      <c r="DB10" s="28"/>
      <c r="DC10" s="28"/>
      <c r="DD10" s="28"/>
      <c r="DE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</row>
    <row r="11" spans="2:149" ht="8.25" customHeight="1">
      <c r="B11" s="28"/>
      <c r="C11" s="28"/>
      <c r="D11" s="28"/>
      <c r="E11" s="147"/>
      <c r="F11" s="148"/>
      <c r="G11" s="148"/>
      <c r="H11" s="273"/>
      <c r="I11" s="148"/>
      <c r="J11" s="148"/>
      <c r="K11" s="148"/>
      <c r="L11" s="148"/>
      <c r="M11" s="148"/>
      <c r="N11" s="147"/>
      <c r="O11" s="148"/>
      <c r="P11" s="148"/>
      <c r="Q11" s="148"/>
      <c r="R11" s="273"/>
      <c r="S11" s="148"/>
      <c r="T11" s="149"/>
      <c r="U11" s="148"/>
      <c r="V11" s="148"/>
      <c r="W11" s="148"/>
      <c r="X11" s="148"/>
      <c r="Y11" s="148"/>
      <c r="Z11" s="148"/>
      <c r="AA11" s="148"/>
      <c r="AB11" s="148"/>
      <c r="AC11" s="149"/>
      <c r="AD11" s="147"/>
      <c r="AE11" s="148"/>
      <c r="AF11" s="148"/>
      <c r="AG11" s="148"/>
      <c r="AH11" s="148"/>
      <c r="AI11" s="149"/>
      <c r="AJ11" s="147"/>
      <c r="AK11" s="148"/>
      <c r="AL11" s="148"/>
      <c r="AM11" s="148"/>
      <c r="AN11" s="148"/>
      <c r="AO11" s="148"/>
      <c r="AP11" s="148"/>
      <c r="AQ11" s="148"/>
      <c r="AR11" s="149"/>
      <c r="AS11" s="147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DA11" s="28"/>
      <c r="DB11" s="28"/>
      <c r="DC11" s="28"/>
      <c r="DD11" s="28"/>
      <c r="DE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</row>
    <row r="12" spans="2:149" ht="8.25" customHeight="1">
      <c r="B12" s="151"/>
      <c r="C12" s="151"/>
      <c r="D12" s="28"/>
      <c r="E12" s="150"/>
      <c r="F12" s="28"/>
      <c r="G12" s="28"/>
      <c r="H12" s="14"/>
      <c r="K12" s="151"/>
      <c r="L12" s="151"/>
      <c r="M12" s="28"/>
      <c r="N12" s="150"/>
      <c r="O12" s="28"/>
      <c r="P12" s="28"/>
      <c r="Q12" s="28"/>
      <c r="R12" s="155"/>
      <c r="S12" s="28"/>
      <c r="T12" s="146"/>
      <c r="U12" s="28"/>
      <c r="V12" s="28"/>
      <c r="W12" s="28"/>
      <c r="X12" s="28"/>
      <c r="AB12" s="28"/>
      <c r="AC12" s="146"/>
      <c r="AD12" s="150"/>
      <c r="AE12" s="28"/>
      <c r="AF12" s="28"/>
      <c r="AG12" s="28"/>
      <c r="AH12" s="28"/>
      <c r="AI12" s="28"/>
      <c r="AJ12" s="150"/>
      <c r="AK12" s="28"/>
      <c r="AL12" s="28"/>
      <c r="AM12" s="28"/>
      <c r="AN12" s="28"/>
      <c r="AO12" s="28"/>
      <c r="AP12" s="28"/>
      <c r="AQ12" s="28"/>
      <c r="AR12" s="146"/>
      <c r="AS12" s="150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DA12" s="28"/>
      <c r="DB12" s="28"/>
      <c r="DC12" s="28"/>
      <c r="DD12" s="28"/>
      <c r="DE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</row>
    <row r="13" spans="2:149" ht="8.25" customHeight="1">
      <c r="B13" s="407" t="s">
        <v>117</v>
      </c>
      <c r="C13" s="408"/>
      <c r="D13" s="408"/>
      <c r="E13" s="408"/>
      <c r="F13" s="408"/>
      <c r="G13" s="409"/>
      <c r="H13" s="155"/>
      <c r="K13" s="407" t="s">
        <v>231</v>
      </c>
      <c r="L13" s="408"/>
      <c r="M13" s="408"/>
      <c r="N13" s="408"/>
      <c r="O13" s="408"/>
      <c r="P13" s="409"/>
      <c r="Q13" s="28"/>
      <c r="R13" s="155"/>
      <c r="S13" s="28"/>
      <c r="T13" s="358"/>
      <c r="U13" s="277"/>
      <c r="V13" s="277"/>
      <c r="W13" s="28"/>
      <c r="X13" s="28"/>
      <c r="AB13" s="28"/>
      <c r="AC13" s="146"/>
      <c r="AD13" s="150"/>
      <c r="AE13" s="28"/>
      <c r="AH13" s="28"/>
      <c r="AI13" s="146"/>
      <c r="AJ13" s="436" t="s">
        <v>233</v>
      </c>
      <c r="AK13" s="417"/>
      <c r="AL13" s="417"/>
      <c r="AM13" s="417"/>
      <c r="AN13" s="417"/>
      <c r="AO13" s="417"/>
      <c r="AP13" s="417"/>
      <c r="AQ13" s="417"/>
      <c r="AR13" s="417"/>
      <c r="AS13" s="150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DA13" s="28"/>
      <c r="DB13" s="28"/>
      <c r="DC13" s="28"/>
      <c r="DD13" s="28"/>
      <c r="DE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</row>
    <row r="14" spans="2:149" ht="8.25" customHeight="1">
      <c r="B14" s="410"/>
      <c r="C14" s="411"/>
      <c r="D14" s="411"/>
      <c r="E14" s="411"/>
      <c r="F14" s="411"/>
      <c r="G14" s="412"/>
      <c r="H14" s="155"/>
      <c r="K14" s="410"/>
      <c r="L14" s="411"/>
      <c r="M14" s="411"/>
      <c r="N14" s="411"/>
      <c r="O14" s="411"/>
      <c r="P14" s="412"/>
      <c r="Q14" s="28"/>
      <c r="R14" s="155"/>
      <c r="S14" s="28"/>
      <c r="T14" s="358"/>
      <c r="U14" s="277"/>
      <c r="V14" s="277"/>
      <c r="W14" s="28"/>
      <c r="X14" s="28"/>
      <c r="AB14" s="28"/>
      <c r="AC14" s="146"/>
      <c r="AD14" s="150"/>
      <c r="AE14" s="28"/>
      <c r="AH14" s="28"/>
      <c r="AI14" s="146"/>
      <c r="AJ14" s="392"/>
      <c r="AK14" s="417"/>
      <c r="AL14" s="417"/>
      <c r="AM14" s="417"/>
      <c r="AN14" s="417"/>
      <c r="AO14" s="417"/>
      <c r="AP14" s="417"/>
      <c r="AQ14" s="417"/>
      <c r="AR14" s="417"/>
      <c r="AS14" s="150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DA14" s="28"/>
      <c r="DB14" s="28"/>
      <c r="DC14" s="28"/>
      <c r="DD14" s="28"/>
      <c r="DE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</row>
    <row r="15" spans="2:109" ht="8.25" customHeight="1">
      <c r="B15" s="410"/>
      <c r="C15" s="411"/>
      <c r="D15" s="411"/>
      <c r="E15" s="411"/>
      <c r="F15" s="411"/>
      <c r="G15" s="412"/>
      <c r="H15" s="155"/>
      <c r="K15" s="410"/>
      <c r="L15" s="411"/>
      <c r="M15" s="411"/>
      <c r="N15" s="411"/>
      <c r="O15" s="411"/>
      <c r="P15" s="412"/>
      <c r="Q15" s="28"/>
      <c r="R15" s="155"/>
      <c r="S15" s="28"/>
      <c r="T15" s="358"/>
      <c r="U15" s="277"/>
      <c r="V15" s="277"/>
      <c r="W15" s="28"/>
      <c r="X15" s="28"/>
      <c r="AB15" s="28"/>
      <c r="AC15" s="146"/>
      <c r="AD15" s="150"/>
      <c r="AE15" s="28"/>
      <c r="AH15" s="28"/>
      <c r="AI15" s="146"/>
      <c r="AJ15" s="392"/>
      <c r="AK15" s="417"/>
      <c r="AL15" s="417"/>
      <c r="AM15" s="417"/>
      <c r="AN15" s="417"/>
      <c r="AO15" s="417"/>
      <c r="AP15" s="417"/>
      <c r="AQ15" s="417"/>
      <c r="AR15" s="417"/>
      <c r="AS15" s="150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CH15" s="28"/>
      <c r="CI15" s="28"/>
      <c r="CJ15" s="28"/>
      <c r="CK15" s="28"/>
      <c r="CL15" s="28"/>
      <c r="CM15" s="28"/>
      <c r="CN15" s="28"/>
      <c r="CO15" s="28"/>
      <c r="CP15" s="28"/>
      <c r="CS15" s="28"/>
      <c r="CT15" s="28"/>
      <c r="CU15" s="28"/>
      <c r="CV15" s="28"/>
      <c r="CW15" s="28"/>
      <c r="CX15" s="28"/>
      <c r="DA15" s="28"/>
      <c r="DB15" s="28"/>
      <c r="DC15" s="28"/>
      <c r="DD15" s="28"/>
      <c r="DE15" s="28"/>
    </row>
    <row r="16" spans="2:109" ht="8.25" customHeight="1">
      <c r="B16" s="410"/>
      <c r="C16" s="411"/>
      <c r="D16" s="411"/>
      <c r="E16" s="411"/>
      <c r="F16" s="411"/>
      <c r="G16" s="412"/>
      <c r="H16" s="155"/>
      <c r="K16" s="410"/>
      <c r="L16" s="411"/>
      <c r="M16" s="411"/>
      <c r="N16" s="411"/>
      <c r="O16" s="411"/>
      <c r="P16" s="412"/>
      <c r="Q16" s="28"/>
      <c r="R16" s="155"/>
      <c r="S16" s="28"/>
      <c r="T16" s="358"/>
      <c r="U16" s="277"/>
      <c r="V16" s="277"/>
      <c r="W16" s="28"/>
      <c r="X16" s="28"/>
      <c r="AB16" s="28"/>
      <c r="AC16" s="146"/>
      <c r="AD16" s="150"/>
      <c r="AE16" s="28"/>
      <c r="AH16" s="28"/>
      <c r="AI16" s="146"/>
      <c r="AJ16" s="392"/>
      <c r="AK16" s="417"/>
      <c r="AL16" s="417"/>
      <c r="AM16" s="417"/>
      <c r="AN16" s="417"/>
      <c r="AO16" s="417"/>
      <c r="AP16" s="417"/>
      <c r="AQ16" s="417"/>
      <c r="AR16" s="417"/>
      <c r="AS16" s="150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CH16" s="28"/>
      <c r="CI16" s="28"/>
      <c r="CJ16" s="28"/>
      <c r="CK16" s="28"/>
      <c r="CL16" s="28"/>
      <c r="CM16" s="28"/>
      <c r="CN16" s="28"/>
      <c r="CO16" s="28"/>
      <c r="CP16" s="28"/>
      <c r="CS16" s="28"/>
      <c r="CT16" s="28"/>
      <c r="CU16" s="28"/>
      <c r="CV16" s="28"/>
      <c r="CW16" s="28"/>
      <c r="CX16" s="28"/>
      <c r="DA16" s="28"/>
      <c r="DB16" s="28"/>
      <c r="DC16" s="28"/>
      <c r="DD16" s="28"/>
      <c r="DE16" s="28"/>
    </row>
    <row r="17" spans="2:142" ht="8.25" customHeight="1">
      <c r="B17" s="410"/>
      <c r="C17" s="411"/>
      <c r="D17" s="411"/>
      <c r="E17" s="411"/>
      <c r="F17" s="411"/>
      <c r="G17" s="412"/>
      <c r="H17" s="28"/>
      <c r="K17" s="410"/>
      <c r="L17" s="411"/>
      <c r="M17" s="411"/>
      <c r="N17" s="411"/>
      <c r="O17" s="411"/>
      <c r="P17" s="412"/>
      <c r="Q17" s="28"/>
      <c r="R17" s="155"/>
      <c r="S17" s="28"/>
      <c r="T17" s="358"/>
      <c r="U17" s="277"/>
      <c r="V17" s="277"/>
      <c r="W17" s="28"/>
      <c r="X17" s="28"/>
      <c r="AB17" s="28"/>
      <c r="AC17" s="146"/>
      <c r="AD17" s="150"/>
      <c r="AE17" s="28"/>
      <c r="AH17" s="28"/>
      <c r="AI17" s="146"/>
      <c r="AJ17" s="150"/>
      <c r="AK17" s="28"/>
      <c r="AL17" s="28"/>
      <c r="AM17" s="28"/>
      <c r="AN17" s="28"/>
      <c r="AO17" s="28"/>
      <c r="AP17" s="28"/>
      <c r="AQ17" s="28"/>
      <c r="AR17" s="28"/>
      <c r="AS17" s="150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CH17" s="28"/>
      <c r="CI17" s="28"/>
      <c r="CJ17" s="28"/>
      <c r="CK17" s="28"/>
      <c r="CL17" s="28"/>
      <c r="CM17" s="28"/>
      <c r="CN17" s="28"/>
      <c r="CO17" s="28"/>
      <c r="CP17" s="28"/>
      <c r="CS17" s="28"/>
      <c r="CT17" s="28"/>
      <c r="CU17" s="28"/>
      <c r="CV17" s="28"/>
      <c r="CW17" s="28"/>
      <c r="CX17" s="28"/>
      <c r="DA17" s="28"/>
      <c r="DB17" s="28"/>
      <c r="DC17" s="28"/>
      <c r="DD17" s="28"/>
      <c r="DE17" s="28"/>
      <c r="EC17" s="407" t="s">
        <v>122</v>
      </c>
      <c r="ED17" s="390"/>
      <c r="EE17" s="390"/>
      <c r="EF17" s="390"/>
      <c r="EG17" s="390"/>
      <c r="EH17" s="390"/>
      <c r="EI17" s="390"/>
      <c r="EJ17" s="390"/>
      <c r="EK17" s="390"/>
      <c r="EL17" s="391"/>
    </row>
    <row r="18" spans="2:142" ht="8.25" customHeight="1">
      <c r="B18" s="410"/>
      <c r="C18" s="411"/>
      <c r="D18" s="411"/>
      <c r="E18" s="411"/>
      <c r="F18" s="411"/>
      <c r="G18" s="412"/>
      <c r="H18" s="28"/>
      <c r="K18" s="410"/>
      <c r="L18" s="411"/>
      <c r="M18" s="411"/>
      <c r="N18" s="411"/>
      <c r="O18" s="411"/>
      <c r="P18" s="412"/>
      <c r="Q18" s="28"/>
      <c r="R18" s="155"/>
      <c r="S18" s="28"/>
      <c r="T18" s="358"/>
      <c r="U18" s="277"/>
      <c r="V18" s="277"/>
      <c r="W18" s="28"/>
      <c r="X18" s="28"/>
      <c r="AB18" s="28"/>
      <c r="AC18" s="146"/>
      <c r="AD18" s="150"/>
      <c r="AE18" s="28"/>
      <c r="AH18" s="28"/>
      <c r="AI18" s="146"/>
      <c r="AJ18" s="150"/>
      <c r="AK18" s="28"/>
      <c r="AL18" s="28"/>
      <c r="AM18" s="28"/>
      <c r="AN18" s="28"/>
      <c r="AO18" s="28"/>
      <c r="AP18" s="28"/>
      <c r="AQ18" s="28"/>
      <c r="AR18" s="28"/>
      <c r="AS18" s="150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CH18" s="28"/>
      <c r="CI18" s="28"/>
      <c r="CJ18" s="28"/>
      <c r="CK18" s="28"/>
      <c r="CL18" s="28"/>
      <c r="CM18" s="28"/>
      <c r="CN18" s="28"/>
      <c r="CO18" s="28"/>
      <c r="CP18" s="28"/>
      <c r="DA18" s="28"/>
      <c r="DB18" s="28"/>
      <c r="DC18" s="28"/>
      <c r="DD18" s="28"/>
      <c r="DE18" s="28"/>
      <c r="EC18" s="392"/>
      <c r="ED18" s="417"/>
      <c r="EE18" s="417"/>
      <c r="EF18" s="417"/>
      <c r="EG18" s="417"/>
      <c r="EH18" s="417"/>
      <c r="EI18" s="417"/>
      <c r="EJ18" s="417"/>
      <c r="EK18" s="417"/>
      <c r="EL18" s="393"/>
    </row>
    <row r="19" spans="2:142" ht="8.25" customHeight="1">
      <c r="B19" s="410"/>
      <c r="C19" s="411"/>
      <c r="D19" s="411"/>
      <c r="E19" s="411"/>
      <c r="F19" s="411"/>
      <c r="G19" s="412"/>
      <c r="H19" s="28"/>
      <c r="K19" s="410"/>
      <c r="L19" s="411"/>
      <c r="M19" s="411"/>
      <c r="N19" s="411"/>
      <c r="O19" s="411"/>
      <c r="P19" s="412"/>
      <c r="Q19" s="28"/>
      <c r="R19" s="155"/>
      <c r="S19" s="28"/>
      <c r="T19" s="358"/>
      <c r="U19" s="277"/>
      <c r="V19" s="277"/>
      <c r="W19" s="28"/>
      <c r="X19" s="28"/>
      <c r="AB19" s="28"/>
      <c r="AC19" s="146"/>
      <c r="AD19" s="150"/>
      <c r="AE19" s="28"/>
      <c r="AH19" s="28"/>
      <c r="AI19" s="146"/>
      <c r="AJ19" s="150"/>
      <c r="AK19" s="28"/>
      <c r="AL19" s="28"/>
      <c r="AM19" s="28"/>
      <c r="AN19" s="28"/>
      <c r="AO19" s="28"/>
      <c r="AP19" s="28"/>
      <c r="AQ19" s="28"/>
      <c r="AR19" s="28"/>
      <c r="AS19" s="150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DA19" s="28"/>
      <c r="DC19" s="14"/>
      <c r="DD19" s="28"/>
      <c r="DE19" s="28"/>
      <c r="EC19" s="392"/>
      <c r="ED19" s="417"/>
      <c r="EE19" s="417"/>
      <c r="EF19" s="417"/>
      <c r="EG19" s="417"/>
      <c r="EH19" s="417"/>
      <c r="EI19" s="417"/>
      <c r="EJ19" s="417"/>
      <c r="EK19" s="417"/>
      <c r="EL19" s="393"/>
    </row>
    <row r="20" spans="2:142" ht="8.25" customHeight="1">
      <c r="B20" s="410"/>
      <c r="C20" s="411"/>
      <c r="D20" s="411"/>
      <c r="E20" s="411"/>
      <c r="F20" s="411"/>
      <c r="G20" s="412"/>
      <c r="H20" s="28"/>
      <c r="K20" s="410"/>
      <c r="L20" s="411"/>
      <c r="M20" s="411"/>
      <c r="N20" s="411"/>
      <c r="O20" s="411"/>
      <c r="P20" s="412"/>
      <c r="Q20" s="28"/>
      <c r="R20" s="155"/>
      <c r="S20" s="28"/>
      <c r="T20" s="358"/>
      <c r="U20" s="277"/>
      <c r="V20" s="277"/>
      <c r="W20" s="28"/>
      <c r="X20" s="28"/>
      <c r="AB20" s="28"/>
      <c r="AC20" s="146"/>
      <c r="AD20" s="150"/>
      <c r="AE20" s="28"/>
      <c r="AH20" s="28"/>
      <c r="AI20" s="146"/>
      <c r="AJ20" s="150"/>
      <c r="AK20" s="28"/>
      <c r="AL20" s="28"/>
      <c r="AM20" s="28"/>
      <c r="AN20" s="28"/>
      <c r="AO20" s="28"/>
      <c r="AP20" s="28"/>
      <c r="AQ20" s="28"/>
      <c r="AR20" s="28"/>
      <c r="AS20" s="150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DE20" s="28"/>
      <c r="EC20" s="392"/>
      <c r="ED20" s="417"/>
      <c r="EE20" s="417"/>
      <c r="EF20" s="417"/>
      <c r="EG20" s="417"/>
      <c r="EH20" s="417"/>
      <c r="EI20" s="417"/>
      <c r="EJ20" s="417"/>
      <c r="EK20" s="417"/>
      <c r="EL20" s="393"/>
    </row>
    <row r="21" spans="2:142" ht="8.25" customHeight="1">
      <c r="B21" s="410"/>
      <c r="C21" s="411"/>
      <c r="D21" s="411"/>
      <c r="E21" s="411"/>
      <c r="F21" s="411"/>
      <c r="G21" s="412"/>
      <c r="H21" s="28"/>
      <c r="K21" s="410"/>
      <c r="L21" s="411"/>
      <c r="M21" s="411"/>
      <c r="N21" s="411"/>
      <c r="O21" s="411"/>
      <c r="P21" s="412"/>
      <c r="Q21" s="28"/>
      <c r="R21" s="155"/>
      <c r="S21" s="28"/>
      <c r="T21" s="358"/>
      <c r="U21" s="277"/>
      <c r="V21" s="277"/>
      <c r="W21" s="28"/>
      <c r="X21" s="28"/>
      <c r="AB21" s="28"/>
      <c r="AC21" s="146"/>
      <c r="AD21" s="150"/>
      <c r="AE21" s="28"/>
      <c r="AH21" s="28"/>
      <c r="AI21" s="146"/>
      <c r="AJ21" s="150"/>
      <c r="AK21" s="28"/>
      <c r="AL21" s="28"/>
      <c r="AM21" s="28"/>
      <c r="AN21" s="28"/>
      <c r="AO21" s="28"/>
      <c r="AP21" s="28"/>
      <c r="AQ21" s="28"/>
      <c r="AR21" s="28"/>
      <c r="AS21" s="150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418" t="s">
        <v>138</v>
      </c>
      <c r="CS21" s="404"/>
      <c r="CT21" s="404"/>
      <c r="CU21" s="404"/>
      <c r="CV21" s="404"/>
      <c r="CW21" s="404"/>
      <c r="CX21" s="404"/>
      <c r="CY21" s="404"/>
      <c r="CZ21" s="404"/>
      <c r="DE21" s="28"/>
      <c r="EC21" s="392"/>
      <c r="ED21" s="417"/>
      <c r="EE21" s="417"/>
      <c r="EF21" s="417"/>
      <c r="EG21" s="417"/>
      <c r="EH21" s="417"/>
      <c r="EI21" s="417"/>
      <c r="EJ21" s="417"/>
      <c r="EK21" s="417"/>
      <c r="EL21" s="393"/>
    </row>
    <row r="22" spans="2:149" ht="8.25" customHeight="1">
      <c r="B22" s="410"/>
      <c r="C22" s="411"/>
      <c r="D22" s="411"/>
      <c r="E22" s="411"/>
      <c r="F22" s="411"/>
      <c r="G22" s="412"/>
      <c r="H22" s="28"/>
      <c r="K22" s="410"/>
      <c r="L22" s="411"/>
      <c r="M22" s="411"/>
      <c r="N22" s="411"/>
      <c r="O22" s="411"/>
      <c r="P22" s="412"/>
      <c r="Q22" s="28"/>
      <c r="R22" s="155"/>
      <c r="S22" s="28"/>
      <c r="T22" s="358"/>
      <c r="U22" s="277"/>
      <c r="V22" s="277"/>
      <c r="W22" s="28"/>
      <c r="X22" s="28"/>
      <c r="AB22" s="28"/>
      <c r="AC22" s="146"/>
      <c r="AD22" s="150"/>
      <c r="AE22" s="28"/>
      <c r="AH22" s="28"/>
      <c r="AI22" s="146"/>
      <c r="AJ22" s="150"/>
      <c r="AK22" s="28"/>
      <c r="AL22" s="28"/>
      <c r="AM22" s="28"/>
      <c r="AN22" s="28"/>
      <c r="AO22" s="28"/>
      <c r="AP22" s="28"/>
      <c r="AQ22" s="28"/>
      <c r="AR22" s="28"/>
      <c r="AS22" s="150"/>
      <c r="AT22" s="416" t="s">
        <v>313</v>
      </c>
      <c r="AU22" s="417"/>
      <c r="AV22" s="417"/>
      <c r="AW22" s="417"/>
      <c r="AX22" s="417"/>
      <c r="AY22" s="417"/>
      <c r="AZ22" s="417"/>
      <c r="BA22" s="417"/>
      <c r="BB22" s="417"/>
      <c r="BC22" s="417"/>
      <c r="BD22" s="417"/>
      <c r="BE22" s="417"/>
      <c r="BF22" s="28"/>
      <c r="BG22" s="28"/>
      <c r="BH22" s="28"/>
      <c r="BI22" s="28"/>
      <c r="BJ22" s="28"/>
      <c r="BK22" s="28"/>
      <c r="BL22" s="28"/>
      <c r="BM22" s="28"/>
      <c r="BN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404"/>
      <c r="CS22" s="404"/>
      <c r="CT22" s="404"/>
      <c r="CU22" s="404"/>
      <c r="CV22" s="404"/>
      <c r="CW22" s="404"/>
      <c r="CX22" s="404"/>
      <c r="CY22" s="404"/>
      <c r="CZ22" s="404"/>
      <c r="DA22" s="28"/>
      <c r="DC22" s="14"/>
      <c r="DD22" s="28"/>
      <c r="DE22" s="28"/>
      <c r="EC22" s="392"/>
      <c r="ED22" s="417"/>
      <c r="EE22" s="417"/>
      <c r="EF22" s="417"/>
      <c r="EG22" s="417"/>
      <c r="EH22" s="417"/>
      <c r="EI22" s="417"/>
      <c r="EJ22" s="417"/>
      <c r="EK22" s="417"/>
      <c r="EL22" s="393"/>
      <c r="EO22" s="28"/>
      <c r="EP22" s="28"/>
      <c r="EQ22" s="28"/>
      <c r="ER22" s="28"/>
      <c r="ES22" s="28"/>
    </row>
    <row r="23" spans="2:149" ht="7.5" customHeight="1">
      <c r="B23" s="413"/>
      <c r="C23" s="414"/>
      <c r="D23" s="414"/>
      <c r="E23" s="414"/>
      <c r="F23" s="414"/>
      <c r="G23" s="415"/>
      <c r="H23" s="28"/>
      <c r="K23" s="413"/>
      <c r="L23" s="414"/>
      <c r="M23" s="414"/>
      <c r="N23" s="414"/>
      <c r="O23" s="414"/>
      <c r="P23" s="415"/>
      <c r="Q23" s="28"/>
      <c r="R23" s="155"/>
      <c r="S23" s="28"/>
      <c r="T23" s="358"/>
      <c r="U23" s="277"/>
      <c r="V23" s="277"/>
      <c r="W23" s="28"/>
      <c r="X23" s="28"/>
      <c r="AB23" s="28"/>
      <c r="AC23" s="146"/>
      <c r="AD23" s="150"/>
      <c r="AE23" s="28"/>
      <c r="AH23" s="28"/>
      <c r="AI23" s="146"/>
      <c r="AJ23" s="150"/>
      <c r="AK23" s="28"/>
      <c r="AL23" s="28"/>
      <c r="AM23" s="28"/>
      <c r="AN23" s="28"/>
      <c r="AO23" s="28"/>
      <c r="AP23" s="28"/>
      <c r="AQ23" s="28"/>
      <c r="AR23" s="28"/>
      <c r="AS23" s="150"/>
      <c r="AT23" s="417"/>
      <c r="AU23" s="417"/>
      <c r="AV23" s="417"/>
      <c r="AW23" s="417"/>
      <c r="AX23" s="417"/>
      <c r="AY23" s="417"/>
      <c r="AZ23" s="417"/>
      <c r="BA23" s="417"/>
      <c r="BB23" s="417"/>
      <c r="BC23" s="417"/>
      <c r="BD23" s="417"/>
      <c r="BE23" s="417"/>
      <c r="BF23" s="28"/>
      <c r="BG23" s="28"/>
      <c r="BH23" s="28"/>
      <c r="BI23" s="28"/>
      <c r="BJ23" s="28"/>
      <c r="BK23" s="28"/>
      <c r="BL23" s="28"/>
      <c r="BM23" s="28"/>
      <c r="BN23" s="28"/>
      <c r="CH23" s="28"/>
      <c r="CI23" s="28"/>
      <c r="CJ23" s="28"/>
      <c r="CK23" s="28"/>
      <c r="CL23" s="28"/>
      <c r="CM23" s="28"/>
      <c r="CN23" s="28"/>
      <c r="CO23" s="28"/>
      <c r="CP23" s="28"/>
      <c r="CQ23" s="151"/>
      <c r="CR23" s="151"/>
      <c r="CS23" s="151"/>
      <c r="CT23" s="151"/>
      <c r="CU23" s="151"/>
      <c r="CV23" s="151"/>
      <c r="CW23" s="151"/>
      <c r="CX23" s="151"/>
      <c r="CY23" s="151"/>
      <c r="CZ23" s="151"/>
      <c r="DA23" s="28"/>
      <c r="DC23" s="28"/>
      <c r="DD23" s="28"/>
      <c r="DE23" s="28"/>
      <c r="EC23" s="392"/>
      <c r="ED23" s="417"/>
      <c r="EE23" s="417"/>
      <c r="EF23" s="417"/>
      <c r="EG23" s="417"/>
      <c r="EH23" s="417"/>
      <c r="EI23" s="417"/>
      <c r="EJ23" s="417"/>
      <c r="EK23" s="417"/>
      <c r="EL23" s="393"/>
      <c r="EM23" s="28"/>
      <c r="EN23" s="28"/>
      <c r="EO23" s="28"/>
      <c r="EP23" s="28"/>
      <c r="EQ23" s="28"/>
      <c r="ER23" s="28"/>
      <c r="ES23" s="28"/>
    </row>
    <row r="24" spans="2:149" ht="7.5" customHeight="1">
      <c r="B24" s="28"/>
      <c r="C24" s="28"/>
      <c r="D24" s="28"/>
      <c r="E24" s="147"/>
      <c r="F24" s="148"/>
      <c r="G24" s="148"/>
      <c r="H24" s="28"/>
      <c r="K24" s="28"/>
      <c r="L24" s="28"/>
      <c r="M24" s="28"/>
      <c r="N24" s="147"/>
      <c r="O24" s="148"/>
      <c r="P24" s="148"/>
      <c r="Q24" s="28"/>
      <c r="R24" s="155"/>
      <c r="S24" s="28"/>
      <c r="T24" s="146"/>
      <c r="U24" s="28"/>
      <c r="V24" s="28"/>
      <c r="W24" s="28"/>
      <c r="X24" s="28"/>
      <c r="AB24" s="28"/>
      <c r="AC24" s="146"/>
      <c r="AD24" s="150"/>
      <c r="AE24" s="28"/>
      <c r="AH24" s="28"/>
      <c r="AI24" s="146"/>
      <c r="AJ24" s="150"/>
      <c r="AK24" s="28"/>
      <c r="AL24" s="28"/>
      <c r="AM24" s="28"/>
      <c r="AN24" s="28"/>
      <c r="AO24" s="28"/>
      <c r="AP24" s="28"/>
      <c r="AQ24" s="28"/>
      <c r="AR24" s="28"/>
      <c r="AS24" s="150"/>
      <c r="AT24" s="417"/>
      <c r="AU24" s="417"/>
      <c r="AV24" s="417"/>
      <c r="AW24" s="417"/>
      <c r="AX24" s="417"/>
      <c r="AY24" s="417"/>
      <c r="AZ24" s="417"/>
      <c r="BA24" s="417"/>
      <c r="BB24" s="417"/>
      <c r="BC24" s="417"/>
      <c r="BD24" s="417"/>
      <c r="BE24" s="417"/>
      <c r="BF24" s="28"/>
      <c r="BG24" s="28"/>
      <c r="BH24" s="28"/>
      <c r="BI24" s="28"/>
      <c r="BJ24" s="28"/>
      <c r="BK24" s="28"/>
      <c r="BL24" s="28"/>
      <c r="BM24" s="28"/>
      <c r="BN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DA24" s="28"/>
      <c r="DC24" s="28"/>
      <c r="DD24" s="28"/>
      <c r="DE24" s="28"/>
      <c r="DL24" s="14"/>
      <c r="DM24" s="28"/>
      <c r="DN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394"/>
      <c r="ED24" s="427"/>
      <c r="EE24" s="427"/>
      <c r="EF24" s="427"/>
      <c r="EG24" s="427"/>
      <c r="EH24" s="427"/>
      <c r="EI24" s="427"/>
      <c r="EJ24" s="427"/>
      <c r="EK24" s="427"/>
      <c r="EL24" s="428"/>
      <c r="EM24" s="28"/>
      <c r="EN24" s="28"/>
      <c r="EO24" s="28"/>
      <c r="EP24" s="28"/>
      <c r="EQ24" s="28"/>
      <c r="ER24" s="28"/>
      <c r="ES24" s="28"/>
    </row>
    <row r="25" spans="2:149" ht="7.5" customHeight="1">
      <c r="B25" s="28"/>
      <c r="C25" s="28"/>
      <c r="D25" s="28"/>
      <c r="E25" s="150"/>
      <c r="F25" s="28"/>
      <c r="G25" s="28"/>
      <c r="H25" s="28"/>
      <c r="K25" s="28"/>
      <c r="L25" s="28"/>
      <c r="M25" s="28"/>
      <c r="N25" s="150"/>
      <c r="O25" s="28"/>
      <c r="P25" s="28"/>
      <c r="Q25" s="28"/>
      <c r="R25" s="155"/>
      <c r="S25" s="28"/>
      <c r="T25" s="146"/>
      <c r="U25" s="28"/>
      <c r="V25" s="28"/>
      <c r="W25" s="28"/>
      <c r="X25" s="28"/>
      <c r="AB25" s="28"/>
      <c r="AC25" s="146"/>
      <c r="AD25" s="150"/>
      <c r="AE25" s="28"/>
      <c r="AG25" s="28"/>
      <c r="AH25" s="28"/>
      <c r="AI25" s="28"/>
      <c r="AJ25" s="150"/>
      <c r="AK25" s="28"/>
      <c r="AL25" s="28"/>
      <c r="AM25" s="28"/>
      <c r="AS25" s="150"/>
      <c r="AT25" s="417"/>
      <c r="AU25" s="417"/>
      <c r="AV25" s="417"/>
      <c r="AW25" s="417"/>
      <c r="AX25" s="417"/>
      <c r="AY25" s="417"/>
      <c r="AZ25" s="417"/>
      <c r="BA25" s="417"/>
      <c r="BB25" s="417"/>
      <c r="BC25" s="417"/>
      <c r="BD25" s="417"/>
      <c r="BE25" s="417"/>
      <c r="BF25" s="28"/>
      <c r="BG25" s="28"/>
      <c r="BH25" s="28"/>
      <c r="BI25" s="28"/>
      <c r="BJ25" s="28"/>
      <c r="BK25" s="28"/>
      <c r="BL25" s="28"/>
      <c r="BM25" s="28"/>
      <c r="BN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DA25" s="28"/>
      <c r="DC25" s="28"/>
      <c r="DD25" s="28"/>
      <c r="DE25" s="28"/>
      <c r="DK25" s="145"/>
      <c r="DL25" s="14"/>
      <c r="DM25" s="28"/>
      <c r="DN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</row>
    <row r="26" spans="2:149" ht="7.5" customHeight="1">
      <c r="B26" s="28"/>
      <c r="C26" s="28"/>
      <c r="D26" s="28"/>
      <c r="E26" s="150"/>
      <c r="F26" s="28"/>
      <c r="G26" s="28"/>
      <c r="H26" s="28"/>
      <c r="K26" s="28"/>
      <c r="L26" s="28"/>
      <c r="M26" s="28"/>
      <c r="N26" s="150"/>
      <c r="O26" s="28"/>
      <c r="P26" s="28"/>
      <c r="Q26" s="28"/>
      <c r="R26" s="155"/>
      <c r="S26" s="28"/>
      <c r="T26" s="146"/>
      <c r="U26" s="28"/>
      <c r="V26" s="28"/>
      <c r="W26" s="28"/>
      <c r="X26" s="28"/>
      <c r="AB26" s="28"/>
      <c r="AC26" s="146"/>
      <c r="AD26" s="150"/>
      <c r="AE26" s="28"/>
      <c r="AG26" s="28"/>
      <c r="AH26" s="28"/>
      <c r="AI26" s="28"/>
      <c r="AJ26" s="150"/>
      <c r="AK26" s="28"/>
      <c r="AL26" s="28"/>
      <c r="AM26" s="28"/>
      <c r="AS26" s="150"/>
      <c r="AT26" s="417"/>
      <c r="AU26" s="417"/>
      <c r="AV26" s="417"/>
      <c r="AW26" s="417"/>
      <c r="AX26" s="417"/>
      <c r="AY26" s="417"/>
      <c r="AZ26" s="417"/>
      <c r="BA26" s="417"/>
      <c r="BB26" s="417"/>
      <c r="BC26" s="417"/>
      <c r="BD26" s="417"/>
      <c r="BE26" s="417"/>
      <c r="BF26" s="28"/>
      <c r="BG26" s="28"/>
      <c r="BH26" s="28"/>
      <c r="BI26" s="28"/>
      <c r="BJ26" s="28"/>
      <c r="BK26" s="28"/>
      <c r="BL26" s="28"/>
      <c r="BM26" s="28"/>
      <c r="BN26" s="28"/>
      <c r="CH26" s="28"/>
      <c r="CI26" s="28"/>
      <c r="CJ26" s="28"/>
      <c r="CK26" s="28"/>
      <c r="CL26" s="28"/>
      <c r="CM26" s="28"/>
      <c r="CN26" s="28"/>
      <c r="CO26" s="28"/>
      <c r="CP26" s="28"/>
      <c r="DB26" s="28"/>
      <c r="DD26" s="28"/>
      <c r="DE26" s="28"/>
      <c r="DK26" s="145"/>
      <c r="DL26" s="14"/>
      <c r="DM26" s="28"/>
      <c r="DN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144"/>
      <c r="EG26" s="277"/>
      <c r="EH26" s="277"/>
      <c r="EI26" s="277"/>
      <c r="EJ26" s="277"/>
      <c r="EK26" s="277"/>
      <c r="EL26" s="277"/>
      <c r="EM26" s="277"/>
      <c r="EN26" s="277"/>
      <c r="EO26" s="278"/>
      <c r="EP26" s="28"/>
      <c r="EQ26" s="28"/>
      <c r="ER26" s="28"/>
      <c r="ES26" s="28"/>
    </row>
    <row r="27" spans="2:145" ht="8.25" customHeight="1">
      <c r="B27" s="28"/>
      <c r="C27" s="28"/>
      <c r="D27" s="28"/>
      <c r="E27" s="150"/>
      <c r="F27" s="28"/>
      <c r="G27" s="28"/>
      <c r="H27" s="28"/>
      <c r="K27" s="28"/>
      <c r="L27" s="28"/>
      <c r="M27" s="28"/>
      <c r="N27" s="150"/>
      <c r="O27" s="28"/>
      <c r="P27" s="28"/>
      <c r="Q27" s="28"/>
      <c r="R27" s="155"/>
      <c r="S27" s="28"/>
      <c r="T27" s="146"/>
      <c r="U27" s="28"/>
      <c r="V27" s="28"/>
      <c r="W27" s="28"/>
      <c r="X27" s="28"/>
      <c r="AB27" s="28"/>
      <c r="AC27" s="146"/>
      <c r="AD27" s="150"/>
      <c r="AE27" s="28"/>
      <c r="AG27" s="28"/>
      <c r="AH27" s="28"/>
      <c r="AI27" s="28"/>
      <c r="AJ27" s="150"/>
      <c r="AK27" s="28"/>
      <c r="AL27" s="28"/>
      <c r="AM27" s="28"/>
      <c r="AS27" s="150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CH27" s="28"/>
      <c r="CI27" s="28"/>
      <c r="CJ27" s="28"/>
      <c r="CL27" s="429" t="s">
        <v>205</v>
      </c>
      <c r="CM27" s="430"/>
      <c r="CN27" s="430"/>
      <c r="CO27" s="430"/>
      <c r="CP27" s="28"/>
      <c r="DD27" s="28"/>
      <c r="DE27" s="28"/>
      <c r="DK27" s="28"/>
      <c r="DL27" s="28"/>
      <c r="DM27" s="28"/>
      <c r="DN27" s="28"/>
      <c r="EF27" s="277"/>
      <c r="EG27" s="277"/>
      <c r="EH27" s="277"/>
      <c r="EI27" s="277"/>
      <c r="EJ27" s="277"/>
      <c r="EK27" s="277"/>
      <c r="EL27" s="277"/>
      <c r="EM27" s="277"/>
      <c r="EN27" s="277"/>
      <c r="EO27" s="278"/>
    </row>
    <row r="28" spans="1:145" ht="8.25" customHeight="1">
      <c r="A28" s="28"/>
      <c r="B28" s="28"/>
      <c r="C28" s="28"/>
      <c r="D28" s="28"/>
      <c r="E28" s="150"/>
      <c r="F28" s="28"/>
      <c r="G28" s="28"/>
      <c r="H28" s="28"/>
      <c r="K28" s="28"/>
      <c r="L28" s="28"/>
      <c r="M28" s="28"/>
      <c r="N28" s="150"/>
      <c r="O28" s="28"/>
      <c r="P28" s="28"/>
      <c r="Q28" s="28"/>
      <c r="R28" s="155"/>
      <c r="S28" s="28"/>
      <c r="T28" s="146"/>
      <c r="U28" s="28"/>
      <c r="V28" s="28"/>
      <c r="W28" s="28"/>
      <c r="X28" s="28"/>
      <c r="AB28" s="28"/>
      <c r="AC28" s="146"/>
      <c r="AD28" s="150"/>
      <c r="AE28" s="28"/>
      <c r="AG28" s="28"/>
      <c r="AH28" s="28"/>
      <c r="AI28" s="28"/>
      <c r="AJ28" s="150"/>
      <c r="AK28" s="28"/>
      <c r="AL28" s="28"/>
      <c r="AM28" s="28"/>
      <c r="AS28" s="150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CH28" s="28"/>
      <c r="CI28" s="28"/>
      <c r="CJ28" s="28"/>
      <c r="CL28" s="431"/>
      <c r="CM28" s="430"/>
      <c r="CN28" s="430"/>
      <c r="CO28" s="430"/>
      <c r="CP28" s="28"/>
      <c r="DK28" s="28"/>
      <c r="DL28" s="28"/>
      <c r="DM28" s="28"/>
      <c r="DN28" s="28"/>
      <c r="ED28" s="407" t="s">
        <v>155</v>
      </c>
      <c r="EE28" s="390"/>
      <c r="EF28" s="390"/>
      <c r="EG28" s="390"/>
      <c r="EH28" s="390"/>
      <c r="EI28" s="390"/>
      <c r="EJ28" s="390"/>
      <c r="EK28" s="432"/>
      <c r="EL28" s="277"/>
      <c r="EM28" s="277"/>
      <c r="EN28" s="277"/>
      <c r="EO28" s="278"/>
    </row>
    <row r="29" spans="1:145" ht="8.25" customHeight="1">
      <c r="A29" s="28"/>
      <c r="B29" s="28"/>
      <c r="C29" s="28"/>
      <c r="D29" s="28"/>
      <c r="E29" s="150"/>
      <c r="F29" s="28"/>
      <c r="G29" s="28"/>
      <c r="H29" s="28"/>
      <c r="K29" s="28"/>
      <c r="L29" s="28"/>
      <c r="M29" s="28"/>
      <c r="N29" s="150"/>
      <c r="O29" s="28"/>
      <c r="P29" s="28"/>
      <c r="Q29" s="28"/>
      <c r="R29" s="155"/>
      <c r="S29" s="28"/>
      <c r="T29" s="146"/>
      <c r="U29" s="28"/>
      <c r="V29" s="28"/>
      <c r="W29" s="28"/>
      <c r="X29" s="28"/>
      <c r="AB29" s="28"/>
      <c r="AC29" s="146"/>
      <c r="AD29" s="150"/>
      <c r="AE29" s="28"/>
      <c r="AG29" s="28"/>
      <c r="AH29" s="28"/>
      <c r="AI29" s="28"/>
      <c r="AJ29" s="150"/>
      <c r="AK29" s="28"/>
      <c r="AL29" s="28"/>
      <c r="AM29" s="28"/>
      <c r="AS29" s="150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CH29" s="28"/>
      <c r="CI29" s="28"/>
      <c r="CJ29" s="28"/>
      <c r="CL29" s="431"/>
      <c r="CM29" s="430"/>
      <c r="CN29" s="430"/>
      <c r="CO29" s="430"/>
      <c r="CP29" s="28"/>
      <c r="DB29" s="28"/>
      <c r="ED29" s="392"/>
      <c r="EE29" s="417"/>
      <c r="EF29" s="417"/>
      <c r="EG29" s="417"/>
      <c r="EH29" s="417"/>
      <c r="EI29" s="417"/>
      <c r="EJ29" s="417"/>
      <c r="EK29" s="433"/>
      <c r="EL29" s="277"/>
      <c r="EM29" s="277"/>
      <c r="EN29" s="277"/>
      <c r="EO29" s="278"/>
    </row>
    <row r="30" spans="1:145" ht="8.25" customHeight="1">
      <c r="A30" s="28"/>
      <c r="B30" s="28"/>
      <c r="C30" s="28"/>
      <c r="D30" s="28"/>
      <c r="E30" s="150"/>
      <c r="F30" s="28"/>
      <c r="G30" s="28"/>
      <c r="H30" s="28"/>
      <c r="K30" s="28"/>
      <c r="L30" s="28"/>
      <c r="M30" s="28"/>
      <c r="N30" s="150"/>
      <c r="O30" s="28"/>
      <c r="P30" s="28"/>
      <c r="Q30" s="28"/>
      <c r="R30" s="155"/>
      <c r="S30" s="28"/>
      <c r="T30" s="146"/>
      <c r="U30" s="28"/>
      <c r="V30" s="28"/>
      <c r="W30" s="28"/>
      <c r="X30" s="28"/>
      <c r="AB30" s="28"/>
      <c r="AC30" s="146"/>
      <c r="AD30" s="150"/>
      <c r="AE30" s="28"/>
      <c r="AG30" s="28"/>
      <c r="AH30" s="28"/>
      <c r="AI30" s="28"/>
      <c r="AJ30" s="150"/>
      <c r="AK30" s="28"/>
      <c r="AL30" s="28"/>
      <c r="AM30" s="28"/>
      <c r="AS30" s="150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CG30" s="28"/>
      <c r="CH30" s="28"/>
      <c r="CI30" s="28"/>
      <c r="CJ30" s="28"/>
      <c r="CL30" s="28"/>
      <c r="CM30" s="28"/>
      <c r="CN30" s="28"/>
      <c r="CO30" s="28"/>
      <c r="CP30" s="28"/>
      <c r="DB30" s="28"/>
      <c r="ED30" s="392"/>
      <c r="EE30" s="417"/>
      <c r="EF30" s="417"/>
      <c r="EG30" s="417"/>
      <c r="EH30" s="417"/>
      <c r="EI30" s="417"/>
      <c r="EJ30" s="417"/>
      <c r="EK30" s="433"/>
      <c r="EL30" s="277"/>
      <c r="EM30" s="277"/>
      <c r="EN30" s="277"/>
      <c r="EO30" s="278"/>
    </row>
    <row r="31" spans="1:145" ht="8.25" customHeight="1">
      <c r="A31" s="28"/>
      <c r="B31" s="28"/>
      <c r="C31" s="28"/>
      <c r="D31" s="28"/>
      <c r="E31" s="150"/>
      <c r="F31" s="28"/>
      <c r="G31" s="28"/>
      <c r="H31" s="28"/>
      <c r="K31" s="28"/>
      <c r="L31" s="28"/>
      <c r="M31" s="28"/>
      <c r="N31" s="150"/>
      <c r="O31" s="28"/>
      <c r="P31" s="28"/>
      <c r="Q31" s="28"/>
      <c r="R31" s="155"/>
      <c r="S31" s="28"/>
      <c r="T31" s="146"/>
      <c r="U31" s="28"/>
      <c r="V31" s="28"/>
      <c r="W31" s="28"/>
      <c r="X31" s="28"/>
      <c r="AB31" s="28"/>
      <c r="AC31" s="146"/>
      <c r="AD31" s="150"/>
      <c r="AE31" s="28"/>
      <c r="AG31" s="28"/>
      <c r="AH31" s="28"/>
      <c r="AI31" s="28"/>
      <c r="AJ31" s="150"/>
      <c r="AK31" s="28"/>
      <c r="AL31" s="28"/>
      <c r="AM31" s="28"/>
      <c r="AS31" s="150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DB31" s="28"/>
      <c r="ED31" s="392"/>
      <c r="EE31" s="417"/>
      <c r="EF31" s="417"/>
      <c r="EG31" s="417"/>
      <c r="EH31" s="417"/>
      <c r="EI31" s="417"/>
      <c r="EJ31" s="417"/>
      <c r="EK31" s="433"/>
      <c r="EL31" s="277"/>
      <c r="EM31" s="277"/>
      <c r="EN31" s="277"/>
      <c r="EO31" s="278"/>
    </row>
    <row r="32" spans="1:145" ht="8.25" customHeight="1">
      <c r="A32" s="28"/>
      <c r="B32" s="28"/>
      <c r="C32" s="28"/>
      <c r="D32" s="28"/>
      <c r="E32" s="150"/>
      <c r="F32" s="28"/>
      <c r="G32" s="28"/>
      <c r="H32" s="28"/>
      <c r="K32" s="28"/>
      <c r="L32" s="28"/>
      <c r="M32" s="28"/>
      <c r="N32" s="150"/>
      <c r="O32" s="28"/>
      <c r="P32" s="28"/>
      <c r="Q32" s="28"/>
      <c r="R32" s="155"/>
      <c r="S32" s="28"/>
      <c r="T32" s="146"/>
      <c r="U32" s="28"/>
      <c r="V32" s="28"/>
      <c r="W32" s="28"/>
      <c r="X32" s="28"/>
      <c r="AB32" s="28"/>
      <c r="AC32" s="146"/>
      <c r="AD32" s="150"/>
      <c r="AE32" s="28"/>
      <c r="AG32" s="28"/>
      <c r="AH32" s="28"/>
      <c r="AI32" s="28"/>
      <c r="AJ32" s="150"/>
      <c r="AK32" s="28"/>
      <c r="AL32" s="28"/>
      <c r="AM32" s="28"/>
      <c r="AS32" s="150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DB32" s="28"/>
      <c r="ED32" s="392"/>
      <c r="EE32" s="417"/>
      <c r="EF32" s="417"/>
      <c r="EG32" s="417"/>
      <c r="EH32" s="417"/>
      <c r="EI32" s="417"/>
      <c r="EJ32" s="417"/>
      <c r="EK32" s="433"/>
      <c r="EL32" s="277"/>
      <c r="EM32" s="277"/>
      <c r="EN32" s="277"/>
      <c r="EO32" s="278"/>
    </row>
    <row r="33" spans="1:141" ht="8.25" customHeight="1">
      <c r="A33" s="155"/>
      <c r="B33" s="28"/>
      <c r="C33" s="28"/>
      <c r="D33" s="28"/>
      <c r="E33" s="150"/>
      <c r="F33" s="28"/>
      <c r="G33" s="28"/>
      <c r="H33" s="28"/>
      <c r="K33" s="28"/>
      <c r="L33" s="28"/>
      <c r="M33" s="28"/>
      <c r="N33" s="150"/>
      <c r="O33" s="28"/>
      <c r="P33" s="28"/>
      <c r="Q33" s="28"/>
      <c r="R33" s="155"/>
      <c r="S33" s="155"/>
      <c r="T33" s="146"/>
      <c r="U33" s="28"/>
      <c r="V33" s="28"/>
      <c r="W33" s="28"/>
      <c r="X33" s="28"/>
      <c r="AB33" s="28"/>
      <c r="AC33" s="146"/>
      <c r="AD33" s="150"/>
      <c r="AE33" s="28"/>
      <c r="AF33" s="28"/>
      <c r="AG33" s="28"/>
      <c r="AH33" s="28"/>
      <c r="AI33" s="28"/>
      <c r="AJ33" s="150"/>
      <c r="AK33" s="28"/>
      <c r="AL33" s="28"/>
      <c r="AM33" s="28"/>
      <c r="AN33" s="28"/>
      <c r="AO33" s="28"/>
      <c r="AP33" s="28"/>
      <c r="AQ33" s="28"/>
      <c r="AR33" s="28"/>
      <c r="AS33" s="150"/>
      <c r="BF33" s="28"/>
      <c r="BG33" s="28"/>
      <c r="BH33" s="28"/>
      <c r="BI33" s="28"/>
      <c r="BJ33" s="28"/>
      <c r="BK33" s="28"/>
      <c r="BL33" s="28"/>
      <c r="BM33" s="28"/>
      <c r="BN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422" t="s">
        <v>206</v>
      </c>
      <c r="CR33" s="406"/>
      <c r="CS33" s="406"/>
      <c r="CT33" s="406"/>
      <c r="CU33" s="406"/>
      <c r="CV33" s="406"/>
      <c r="CW33" s="406"/>
      <c r="CX33" s="406"/>
      <c r="CY33" s="406"/>
      <c r="CZ33" s="404"/>
      <c r="DA33" s="404"/>
      <c r="DB33" s="404"/>
      <c r="DU33" s="28"/>
      <c r="ED33" s="392"/>
      <c r="EE33" s="417"/>
      <c r="EF33" s="417"/>
      <c r="EG33" s="417"/>
      <c r="EH33" s="417"/>
      <c r="EI33" s="417"/>
      <c r="EJ33" s="417"/>
      <c r="EK33" s="433"/>
    </row>
    <row r="34" spans="1:141" ht="8.25" customHeight="1">
      <c r="A34" s="155"/>
      <c r="B34" s="155"/>
      <c r="C34" s="155"/>
      <c r="D34" s="155"/>
      <c r="E34" s="202"/>
      <c r="F34" s="155"/>
      <c r="G34" s="155"/>
      <c r="H34" s="155"/>
      <c r="K34" s="155"/>
      <c r="L34" s="155"/>
      <c r="M34" s="155"/>
      <c r="N34" s="202"/>
      <c r="O34" s="155"/>
      <c r="P34" s="155"/>
      <c r="Q34" s="28"/>
      <c r="R34" s="155"/>
      <c r="S34" s="155"/>
      <c r="T34" s="294"/>
      <c r="U34" s="202"/>
      <c r="V34" s="28"/>
      <c r="W34" s="28"/>
      <c r="X34" s="146"/>
      <c r="AB34" s="28"/>
      <c r="AC34" s="146"/>
      <c r="AD34" s="150"/>
      <c r="AE34" s="28"/>
      <c r="AF34" s="28"/>
      <c r="AG34" s="28"/>
      <c r="AH34" s="28"/>
      <c r="AI34" s="28"/>
      <c r="AJ34" s="150"/>
      <c r="AK34" s="28"/>
      <c r="AL34" s="28"/>
      <c r="AM34" s="28"/>
      <c r="AN34" s="28"/>
      <c r="AO34" s="28"/>
      <c r="AP34" s="28"/>
      <c r="AQ34" s="28"/>
      <c r="AR34" s="28"/>
      <c r="AS34" s="150"/>
      <c r="AT34" s="422" t="s">
        <v>311</v>
      </c>
      <c r="AU34" s="406"/>
      <c r="AV34" s="406"/>
      <c r="AW34" s="406"/>
      <c r="AX34" s="406"/>
      <c r="AY34" s="406"/>
      <c r="AZ34" s="406"/>
      <c r="BA34" s="406"/>
      <c r="BB34" s="406"/>
      <c r="BC34" s="406"/>
      <c r="BD34" s="406"/>
      <c r="BE34" s="406"/>
      <c r="BF34" s="28"/>
      <c r="BG34" s="28"/>
      <c r="BH34" s="28"/>
      <c r="BI34" s="28"/>
      <c r="BJ34" s="28"/>
      <c r="BK34" s="28"/>
      <c r="BL34" s="28"/>
      <c r="BM34" s="28"/>
      <c r="BN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406"/>
      <c r="CR34" s="406"/>
      <c r="CS34" s="406"/>
      <c r="CT34" s="406"/>
      <c r="CU34" s="406"/>
      <c r="CV34" s="406"/>
      <c r="CW34" s="406"/>
      <c r="CX34" s="406"/>
      <c r="CY34" s="406"/>
      <c r="CZ34" s="404"/>
      <c r="DA34" s="404"/>
      <c r="DB34" s="404"/>
      <c r="DU34" s="28"/>
      <c r="ED34" s="392"/>
      <c r="EE34" s="417"/>
      <c r="EF34" s="417"/>
      <c r="EG34" s="417"/>
      <c r="EH34" s="417"/>
      <c r="EI34" s="417"/>
      <c r="EJ34" s="417"/>
      <c r="EK34" s="433"/>
    </row>
    <row r="35" spans="1:141" ht="8.25" customHeight="1">
      <c r="A35" s="155"/>
      <c r="B35" s="155"/>
      <c r="C35" s="155"/>
      <c r="D35" s="155"/>
      <c r="E35" s="202"/>
      <c r="F35" s="155"/>
      <c r="G35" s="155"/>
      <c r="H35" s="155"/>
      <c r="K35" s="155"/>
      <c r="L35" s="155"/>
      <c r="M35" s="155"/>
      <c r="N35" s="202"/>
      <c r="O35" s="155"/>
      <c r="P35" s="155"/>
      <c r="Q35" s="28"/>
      <c r="R35" s="155"/>
      <c r="S35" s="155"/>
      <c r="T35" s="294"/>
      <c r="U35" s="202"/>
      <c r="V35" s="28"/>
      <c r="W35" s="28"/>
      <c r="X35" s="146"/>
      <c r="AB35" s="28"/>
      <c r="AC35" s="146"/>
      <c r="AD35" s="150"/>
      <c r="AE35" s="28"/>
      <c r="AF35" s="28"/>
      <c r="AG35" s="28"/>
      <c r="AH35" s="28"/>
      <c r="AI35" s="28"/>
      <c r="AJ35" s="150"/>
      <c r="AK35" s="28"/>
      <c r="AL35" s="28"/>
      <c r="AM35" s="28"/>
      <c r="AN35" s="28"/>
      <c r="AO35" s="28"/>
      <c r="AP35" s="28"/>
      <c r="AQ35" s="28"/>
      <c r="AR35" s="28"/>
      <c r="AS35" s="150"/>
      <c r="AT35" s="406"/>
      <c r="AU35" s="406"/>
      <c r="AV35" s="406"/>
      <c r="AW35" s="406"/>
      <c r="AX35" s="406"/>
      <c r="AY35" s="406"/>
      <c r="AZ35" s="406"/>
      <c r="BA35" s="406"/>
      <c r="BB35" s="406"/>
      <c r="BC35" s="406"/>
      <c r="BD35" s="406"/>
      <c r="BE35" s="406"/>
      <c r="BF35" s="28"/>
      <c r="BG35" s="28"/>
      <c r="BH35" s="28"/>
      <c r="BI35" s="28"/>
      <c r="BJ35" s="28"/>
      <c r="BK35" s="28"/>
      <c r="BL35" s="28"/>
      <c r="BM35" s="28"/>
      <c r="BN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406"/>
      <c r="CR35" s="406"/>
      <c r="CS35" s="406"/>
      <c r="CT35" s="406"/>
      <c r="CU35" s="406"/>
      <c r="CV35" s="406"/>
      <c r="CW35" s="406"/>
      <c r="CX35" s="406"/>
      <c r="CY35" s="406"/>
      <c r="CZ35" s="404"/>
      <c r="DA35" s="404"/>
      <c r="DB35" s="404"/>
      <c r="DU35" s="28"/>
      <c r="ED35" s="394"/>
      <c r="EE35" s="427"/>
      <c r="EF35" s="427"/>
      <c r="EG35" s="427"/>
      <c r="EH35" s="427"/>
      <c r="EI35" s="427"/>
      <c r="EJ35" s="427"/>
      <c r="EK35" s="434"/>
    </row>
    <row r="36" spans="1:125" ht="8.25" customHeight="1">
      <c r="A36" s="155"/>
      <c r="B36" s="155"/>
      <c r="C36" s="155"/>
      <c r="D36" s="155"/>
      <c r="E36" s="202"/>
      <c r="F36" s="155"/>
      <c r="G36" s="155"/>
      <c r="H36" s="155"/>
      <c r="K36" s="155"/>
      <c r="L36" s="155"/>
      <c r="M36" s="155"/>
      <c r="N36" s="202"/>
      <c r="O36" s="155"/>
      <c r="P36" s="155"/>
      <c r="Q36" s="28"/>
      <c r="R36" s="155"/>
      <c r="S36" s="155"/>
      <c r="T36" s="294"/>
      <c r="U36" s="202"/>
      <c r="V36" s="28"/>
      <c r="W36" s="28"/>
      <c r="X36" s="146"/>
      <c r="AB36" s="28"/>
      <c r="AC36" s="146"/>
      <c r="AD36" s="150"/>
      <c r="AE36" s="28"/>
      <c r="AF36" s="28"/>
      <c r="AG36" s="28"/>
      <c r="AH36" s="28"/>
      <c r="AI36" s="28"/>
      <c r="AJ36" s="150"/>
      <c r="AK36" s="28"/>
      <c r="AL36" s="28"/>
      <c r="AM36" s="28"/>
      <c r="AN36" s="28"/>
      <c r="AO36" s="28"/>
      <c r="AP36" s="28"/>
      <c r="AQ36" s="28"/>
      <c r="AR36" s="28"/>
      <c r="AS36" s="150"/>
      <c r="AT36" s="406"/>
      <c r="AU36" s="406"/>
      <c r="AV36" s="406"/>
      <c r="AW36" s="406"/>
      <c r="AX36" s="406"/>
      <c r="AY36" s="406"/>
      <c r="AZ36" s="406"/>
      <c r="BA36" s="406"/>
      <c r="BB36" s="406"/>
      <c r="BC36" s="406"/>
      <c r="BD36" s="406"/>
      <c r="BE36" s="406"/>
      <c r="BF36" s="28"/>
      <c r="BG36" s="28"/>
      <c r="BH36" s="28"/>
      <c r="BI36" s="28"/>
      <c r="BJ36" s="28"/>
      <c r="BK36" s="28"/>
      <c r="BL36" s="28"/>
      <c r="BM36" s="28"/>
      <c r="BN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406"/>
      <c r="CR36" s="406"/>
      <c r="CS36" s="406"/>
      <c r="CT36" s="406"/>
      <c r="CU36" s="406"/>
      <c r="CV36" s="406"/>
      <c r="CW36" s="406"/>
      <c r="CX36" s="406"/>
      <c r="CY36" s="406"/>
      <c r="CZ36" s="404"/>
      <c r="DA36" s="404"/>
      <c r="DB36" s="404"/>
      <c r="DU36" s="28"/>
    </row>
    <row r="37" spans="1:125" ht="8.25" customHeight="1">
      <c r="A37" s="155"/>
      <c r="B37" s="155"/>
      <c r="C37" s="155"/>
      <c r="D37" s="155"/>
      <c r="E37" s="202"/>
      <c r="F37" s="155"/>
      <c r="G37" s="155"/>
      <c r="H37" s="155"/>
      <c r="K37" s="155"/>
      <c r="L37" s="155"/>
      <c r="M37" s="155"/>
      <c r="N37" s="202"/>
      <c r="O37" s="155"/>
      <c r="P37" s="155"/>
      <c r="Q37" s="28"/>
      <c r="R37" s="155"/>
      <c r="S37" s="155"/>
      <c r="T37" s="294"/>
      <c r="U37" s="202"/>
      <c r="V37" s="28"/>
      <c r="W37" s="28"/>
      <c r="X37" s="146"/>
      <c r="AB37" s="155"/>
      <c r="AC37" s="294"/>
      <c r="AD37" s="150"/>
      <c r="AE37" s="28"/>
      <c r="AF37" s="28"/>
      <c r="AG37" s="28"/>
      <c r="AH37" s="28"/>
      <c r="AI37" s="28"/>
      <c r="AJ37" s="150"/>
      <c r="AK37" s="28"/>
      <c r="AL37" s="28"/>
      <c r="AM37" s="28"/>
      <c r="AN37" s="28"/>
      <c r="AO37" s="28"/>
      <c r="AP37" s="28"/>
      <c r="AQ37" s="28"/>
      <c r="AR37" s="28"/>
      <c r="AS37" s="150"/>
      <c r="AT37" s="406"/>
      <c r="AU37" s="406"/>
      <c r="AV37" s="406"/>
      <c r="AW37" s="406"/>
      <c r="AX37" s="406"/>
      <c r="AY37" s="406"/>
      <c r="AZ37" s="406"/>
      <c r="BA37" s="406"/>
      <c r="BB37" s="406"/>
      <c r="BC37" s="406"/>
      <c r="BD37" s="406"/>
      <c r="BE37" s="406"/>
      <c r="BF37" s="28"/>
      <c r="BG37" s="28"/>
      <c r="BH37" s="28"/>
      <c r="BI37" s="28"/>
      <c r="BJ37" s="28"/>
      <c r="BK37" s="28"/>
      <c r="BL37" s="28"/>
      <c r="BM37" s="28"/>
      <c r="BN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406"/>
      <c r="CR37" s="406"/>
      <c r="CS37" s="406"/>
      <c r="CT37" s="406"/>
      <c r="CU37" s="406"/>
      <c r="CV37" s="406"/>
      <c r="CW37" s="406"/>
      <c r="CX37" s="406"/>
      <c r="CY37" s="406"/>
      <c r="CZ37" s="404"/>
      <c r="DA37" s="404"/>
      <c r="DB37" s="404"/>
      <c r="DU37" s="28"/>
    </row>
    <row r="38" spans="1:125" ht="8.25" customHeight="1">
      <c r="A38" s="28"/>
      <c r="B38" s="28"/>
      <c r="C38" s="28"/>
      <c r="D38" s="28"/>
      <c r="E38" s="152"/>
      <c r="F38" s="151"/>
      <c r="G38" s="151"/>
      <c r="H38" s="151"/>
      <c r="K38" s="151"/>
      <c r="L38" s="151"/>
      <c r="M38" s="151"/>
      <c r="N38" s="152"/>
      <c r="O38" s="151"/>
      <c r="P38" s="151"/>
      <c r="Q38" s="151"/>
      <c r="R38" s="282"/>
      <c r="S38" s="151"/>
      <c r="T38" s="153"/>
      <c r="U38" s="152"/>
      <c r="V38" s="151"/>
      <c r="W38" s="151"/>
      <c r="X38" s="153"/>
      <c r="AB38" s="151"/>
      <c r="AC38" s="153"/>
      <c r="AD38" s="152"/>
      <c r="AE38" s="151"/>
      <c r="AF38" s="151"/>
      <c r="AG38" s="151"/>
      <c r="AH38" s="151"/>
      <c r="AI38" s="151"/>
      <c r="AJ38" s="152"/>
      <c r="AK38" s="151"/>
      <c r="AL38" s="151"/>
      <c r="AM38" s="151"/>
      <c r="AN38" s="151"/>
      <c r="AO38" s="151"/>
      <c r="AP38" s="151"/>
      <c r="AQ38" s="151"/>
      <c r="AR38" s="151"/>
      <c r="AS38" s="152"/>
      <c r="AT38" s="389"/>
      <c r="AU38" s="389"/>
      <c r="AV38" s="389"/>
      <c r="AW38" s="389"/>
      <c r="AX38" s="389"/>
      <c r="AY38" s="389"/>
      <c r="AZ38" s="389"/>
      <c r="BA38" s="389"/>
      <c r="BB38" s="389"/>
      <c r="BC38" s="389"/>
      <c r="BD38" s="389"/>
      <c r="BE38" s="389"/>
      <c r="BF38" s="28"/>
      <c r="BG38" s="28"/>
      <c r="BH38" s="28"/>
      <c r="BI38" s="28"/>
      <c r="BJ38" s="28"/>
      <c r="BK38" s="28"/>
      <c r="BL38" s="28"/>
      <c r="BM38" s="28"/>
      <c r="BN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DU38" s="28"/>
    </row>
    <row r="39" spans="1:125" ht="8.25" customHeight="1">
      <c r="A39" s="28"/>
      <c r="B39" s="28"/>
      <c r="C39" s="28"/>
      <c r="D39" s="28"/>
      <c r="E39" s="28"/>
      <c r="F39" s="28"/>
      <c r="G39" s="28"/>
      <c r="H39" s="148"/>
      <c r="I39" s="148"/>
      <c r="J39" s="148"/>
      <c r="K39" s="148"/>
      <c r="L39" s="148"/>
      <c r="M39" s="273"/>
      <c r="N39" s="273"/>
      <c r="O39" s="273"/>
      <c r="P39" s="273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28"/>
      <c r="AC39" s="28"/>
      <c r="AD39" s="28"/>
      <c r="AE39" s="28"/>
      <c r="AF39" s="28"/>
      <c r="AH39" s="28"/>
      <c r="AI39" s="28"/>
      <c r="AJ39" s="28"/>
      <c r="AK39" s="148"/>
      <c r="AL39" s="148"/>
      <c r="AM39" s="148"/>
      <c r="AN39" s="148"/>
      <c r="AO39" s="148"/>
      <c r="AP39" s="148"/>
      <c r="AQ39" s="148"/>
      <c r="AR39" s="149"/>
      <c r="AU39" s="28"/>
      <c r="AV39" s="28"/>
      <c r="AW39" s="28"/>
      <c r="AX39" s="28"/>
      <c r="BF39" s="28"/>
      <c r="BG39" s="28"/>
      <c r="BH39" s="28"/>
      <c r="BI39" s="28"/>
      <c r="BJ39" s="28"/>
      <c r="BK39" s="28"/>
      <c r="BL39" s="28"/>
      <c r="BM39" s="28"/>
      <c r="BN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DU39" s="28"/>
    </row>
    <row r="40" spans="1:136" ht="8.25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146"/>
      <c r="BF40" s="28"/>
      <c r="BG40" s="28"/>
      <c r="BH40" s="28"/>
      <c r="BI40" s="28"/>
      <c r="BJ40" s="28"/>
      <c r="BK40" s="28"/>
      <c r="BL40" s="28"/>
      <c r="BM40" s="28"/>
      <c r="BN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148"/>
      <c r="CR40" s="148"/>
      <c r="CS40" s="148"/>
      <c r="CT40" s="148"/>
      <c r="CU40" s="148"/>
      <c r="CV40" s="148"/>
      <c r="CW40" s="148"/>
      <c r="CX40" s="148"/>
      <c r="CY40" s="148"/>
      <c r="CZ40" s="148"/>
      <c r="DQ40" s="28"/>
      <c r="DR40" s="28"/>
      <c r="DS40" s="28"/>
      <c r="DT40" s="28"/>
      <c r="DU40" s="155"/>
      <c r="DV40" s="155"/>
      <c r="DW40" s="155"/>
      <c r="DX40" s="155"/>
      <c r="DY40" s="155"/>
      <c r="DZ40" s="155"/>
      <c r="EA40" s="155"/>
      <c r="EB40" s="155"/>
      <c r="EC40" s="155"/>
      <c r="ED40" s="155"/>
      <c r="EE40" s="28"/>
      <c r="EF40" s="28"/>
    </row>
    <row r="41" spans="9:136" ht="8.25" customHeight="1">
      <c r="I41" s="28"/>
      <c r="J41" s="28"/>
      <c r="K41" s="28"/>
      <c r="L41" s="28"/>
      <c r="M41" s="28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146"/>
      <c r="BF41" s="28"/>
      <c r="BG41" s="28"/>
      <c r="BH41" s="28"/>
      <c r="BI41" s="28"/>
      <c r="BJ41" s="28"/>
      <c r="BK41" s="28"/>
      <c r="BL41" s="28"/>
      <c r="BM41" s="28"/>
      <c r="BN41" s="28"/>
      <c r="BX41" s="28"/>
      <c r="BY41" s="28"/>
      <c r="BZ41" s="28"/>
      <c r="CA41" s="28"/>
      <c r="CB41" s="28"/>
      <c r="CC41" s="28"/>
      <c r="CD41" s="418" t="s">
        <v>137</v>
      </c>
      <c r="CE41" s="406"/>
      <c r="CF41" s="406"/>
      <c r="CG41" s="406"/>
      <c r="CH41" s="406"/>
      <c r="CI41" s="406"/>
      <c r="CJ41" s="406"/>
      <c r="CK41" s="406"/>
      <c r="CL41" s="406"/>
      <c r="CM41" s="28"/>
      <c r="CN41" s="28"/>
      <c r="CO41" s="28"/>
      <c r="CP41" s="28"/>
      <c r="CQ41" s="422" t="s">
        <v>207</v>
      </c>
      <c r="CR41" s="406"/>
      <c r="CS41" s="406"/>
      <c r="CT41" s="406"/>
      <c r="CU41" s="406"/>
      <c r="CV41" s="406"/>
      <c r="CW41" s="406"/>
      <c r="CX41" s="406"/>
      <c r="CY41" s="406"/>
      <c r="CZ41" s="404"/>
      <c r="DA41" s="404"/>
      <c r="DB41" s="404"/>
      <c r="DQ41" s="28"/>
      <c r="DR41" s="28"/>
      <c r="DS41" s="28"/>
      <c r="DT41" s="28"/>
      <c r="DU41" s="155"/>
      <c r="DV41" s="155"/>
      <c r="DW41" s="155"/>
      <c r="DX41" s="155"/>
      <c r="DY41" s="155"/>
      <c r="DZ41" s="155"/>
      <c r="EA41" s="155"/>
      <c r="EB41" s="155"/>
      <c r="EC41" s="155"/>
      <c r="ED41" s="155"/>
      <c r="EE41" s="28"/>
      <c r="EF41" s="28"/>
    </row>
    <row r="42" spans="9:136" ht="8.25" customHeight="1">
      <c r="I42" s="28"/>
      <c r="J42" s="28"/>
      <c r="K42" s="28"/>
      <c r="L42" s="28"/>
      <c r="M42" s="28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146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T42" s="28"/>
      <c r="BU42" s="28"/>
      <c r="BW42" s="28"/>
      <c r="BX42" s="28"/>
      <c r="BY42" s="28"/>
      <c r="BZ42" s="28"/>
      <c r="CA42" s="28"/>
      <c r="CB42" s="28"/>
      <c r="CC42" s="28"/>
      <c r="CD42" s="406"/>
      <c r="CE42" s="406"/>
      <c r="CF42" s="406"/>
      <c r="CG42" s="406"/>
      <c r="CH42" s="406"/>
      <c r="CI42" s="406"/>
      <c r="CJ42" s="406"/>
      <c r="CK42" s="406"/>
      <c r="CL42" s="406"/>
      <c r="CM42" s="28"/>
      <c r="CN42" s="28"/>
      <c r="CO42" s="28"/>
      <c r="CP42" s="28"/>
      <c r="CQ42" s="406"/>
      <c r="CR42" s="406"/>
      <c r="CS42" s="406"/>
      <c r="CT42" s="406"/>
      <c r="CU42" s="406"/>
      <c r="CV42" s="406"/>
      <c r="CW42" s="406"/>
      <c r="CX42" s="406"/>
      <c r="CY42" s="406"/>
      <c r="CZ42" s="404"/>
      <c r="DA42" s="404"/>
      <c r="DB42" s="404"/>
      <c r="DQ42" s="28"/>
      <c r="DR42" s="28"/>
      <c r="DS42" s="28"/>
      <c r="DT42" s="28"/>
      <c r="DU42" s="155"/>
      <c r="DV42" s="155"/>
      <c r="DW42" s="155"/>
      <c r="DX42" s="155"/>
      <c r="DY42" s="155"/>
      <c r="DZ42" s="155"/>
      <c r="EA42" s="155"/>
      <c r="EB42" s="155"/>
      <c r="EC42" s="155"/>
      <c r="ED42" s="155"/>
      <c r="EE42" s="28"/>
      <c r="EF42" s="28"/>
    </row>
    <row r="43" spans="9:136" ht="8.25" customHeight="1">
      <c r="I43" s="28"/>
      <c r="J43" s="28"/>
      <c r="K43" s="28"/>
      <c r="L43" s="28"/>
      <c r="M43" s="28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146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T43" s="28"/>
      <c r="BU43" s="28"/>
      <c r="BW43" s="28"/>
      <c r="BX43" s="28"/>
      <c r="BY43" s="28"/>
      <c r="BZ43" s="28"/>
      <c r="CA43" s="28"/>
      <c r="CB43" s="28"/>
      <c r="CC43" s="28"/>
      <c r="CM43" s="28"/>
      <c r="CN43" s="28"/>
      <c r="CO43" s="28"/>
      <c r="CP43" s="28"/>
      <c r="CQ43" s="406"/>
      <c r="CR43" s="406"/>
      <c r="CS43" s="406"/>
      <c r="CT43" s="406"/>
      <c r="CU43" s="406"/>
      <c r="CV43" s="406"/>
      <c r="CW43" s="406"/>
      <c r="CX43" s="406"/>
      <c r="CY43" s="406"/>
      <c r="CZ43" s="404"/>
      <c r="DA43" s="404"/>
      <c r="DB43" s="404"/>
      <c r="DQ43" s="28"/>
      <c r="DR43" s="28"/>
      <c r="DS43" s="28"/>
      <c r="DT43" s="28"/>
      <c r="DU43" s="155"/>
      <c r="DV43" s="155"/>
      <c r="DW43" s="155"/>
      <c r="DX43" s="155"/>
      <c r="DY43" s="155"/>
      <c r="DZ43" s="155"/>
      <c r="EA43" s="155"/>
      <c r="EB43" s="155"/>
      <c r="EC43" s="155"/>
      <c r="ED43" s="155"/>
      <c r="EE43" s="28"/>
      <c r="EF43" s="28"/>
    </row>
    <row r="44" spans="9:136" ht="8.25" customHeight="1">
      <c r="I44" s="28"/>
      <c r="J44" s="28"/>
      <c r="K44" s="28"/>
      <c r="L44" s="28"/>
      <c r="M44" s="28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146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T44" s="28"/>
      <c r="BU44" s="28"/>
      <c r="BW44" s="28"/>
      <c r="BX44" s="28"/>
      <c r="BY44" s="28"/>
      <c r="BZ44" s="28"/>
      <c r="CA44" s="28"/>
      <c r="CB44" s="28"/>
      <c r="CC44" s="28"/>
      <c r="CD44" s="28"/>
      <c r="CM44" s="28"/>
      <c r="CN44" s="28"/>
      <c r="CO44" s="28"/>
      <c r="CP44" s="28"/>
      <c r="CQ44" s="406"/>
      <c r="CR44" s="406"/>
      <c r="CS44" s="406"/>
      <c r="CT44" s="406"/>
      <c r="CU44" s="406"/>
      <c r="CV44" s="406"/>
      <c r="CW44" s="406"/>
      <c r="CX44" s="406"/>
      <c r="CY44" s="406"/>
      <c r="CZ44" s="404"/>
      <c r="DA44" s="404"/>
      <c r="DB44" s="404"/>
      <c r="DQ44" s="28"/>
      <c r="DR44" s="28"/>
      <c r="DS44" s="28"/>
      <c r="DT44" s="28"/>
      <c r="DU44" s="155"/>
      <c r="DV44" s="155"/>
      <c r="DW44" s="155"/>
      <c r="DX44" s="155"/>
      <c r="DY44" s="155"/>
      <c r="DZ44" s="155"/>
      <c r="EA44" s="155"/>
      <c r="EB44" s="155"/>
      <c r="EC44" s="155"/>
      <c r="ED44" s="155"/>
      <c r="EE44" s="28"/>
      <c r="EF44" s="28"/>
    </row>
    <row r="45" spans="14:136" ht="8.25" customHeight="1"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146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U45" s="28"/>
      <c r="BW45" s="28"/>
      <c r="BX45" s="28"/>
      <c r="BY45" s="28"/>
      <c r="BZ45" s="28"/>
      <c r="CA45" s="28"/>
      <c r="CB45" s="28"/>
      <c r="CC45" s="28"/>
      <c r="CD45" s="148"/>
      <c r="CE45" s="148"/>
      <c r="CF45" s="148"/>
      <c r="CG45" s="148"/>
      <c r="CH45" s="148"/>
      <c r="CI45" s="148"/>
      <c r="CJ45" s="148"/>
      <c r="CK45" s="148"/>
      <c r="CM45" s="28"/>
      <c r="CN45" s="28"/>
      <c r="CO45" s="28"/>
      <c r="CP45" s="28"/>
      <c r="CQ45" s="406"/>
      <c r="CR45" s="406"/>
      <c r="CS45" s="406"/>
      <c r="CT45" s="406"/>
      <c r="CU45" s="406"/>
      <c r="CV45" s="406"/>
      <c r="CW45" s="406"/>
      <c r="CX45" s="406"/>
      <c r="CY45" s="406"/>
      <c r="CZ45" s="404"/>
      <c r="DA45" s="404"/>
      <c r="DB45" s="404"/>
      <c r="DQ45" s="14"/>
      <c r="DR45" s="14"/>
      <c r="DS45" s="14"/>
      <c r="DT45" s="14"/>
      <c r="DU45" s="155"/>
      <c r="DV45" s="155"/>
      <c r="DW45" s="155"/>
      <c r="DX45" s="155"/>
      <c r="DY45" s="155"/>
      <c r="DZ45" s="155"/>
      <c r="EA45" s="155"/>
      <c r="EB45" s="155"/>
      <c r="EC45" s="155"/>
      <c r="ED45" s="155"/>
      <c r="EE45" s="28"/>
      <c r="EF45" s="28"/>
    </row>
    <row r="46" spans="14:136" ht="8.25" customHeight="1"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146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U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M46" s="28"/>
      <c r="CN46" s="28"/>
      <c r="CO46" s="28"/>
      <c r="CP46" s="28"/>
      <c r="CQ46" s="151"/>
      <c r="DQ46" s="14"/>
      <c r="DR46" s="14"/>
      <c r="DS46" s="14"/>
      <c r="DT46" s="14"/>
      <c r="DU46" s="155"/>
      <c r="DV46" s="155"/>
      <c r="DW46" s="155"/>
      <c r="DX46" s="155"/>
      <c r="DY46" s="155"/>
      <c r="DZ46" s="155"/>
      <c r="EA46" s="155"/>
      <c r="EB46" s="155"/>
      <c r="EC46" s="155"/>
      <c r="ED46" s="155"/>
      <c r="EE46" s="28"/>
      <c r="EF46" s="28"/>
    </row>
    <row r="47" spans="14:136" ht="8.25" customHeight="1"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146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M47" s="28"/>
      <c r="CN47" s="28"/>
      <c r="CO47" s="28"/>
      <c r="CP47" s="28"/>
      <c r="CQ47" s="28"/>
      <c r="CR47" s="148"/>
      <c r="CS47" s="148"/>
      <c r="CT47" s="148"/>
      <c r="CU47" s="148"/>
      <c r="CV47" s="148"/>
      <c r="CW47" s="148"/>
      <c r="CX47" s="148"/>
      <c r="CY47" s="148"/>
      <c r="CZ47" s="148"/>
      <c r="DQ47" s="28"/>
      <c r="DR47" s="28"/>
      <c r="DS47" s="28"/>
      <c r="DT47" s="28"/>
      <c r="DU47" s="155"/>
      <c r="DV47" s="155"/>
      <c r="DW47" s="155"/>
      <c r="DX47" s="155"/>
      <c r="DY47" s="155"/>
      <c r="DZ47" s="155"/>
      <c r="EA47" s="155"/>
      <c r="EB47" s="155"/>
      <c r="EC47" s="155"/>
      <c r="ED47" s="155"/>
      <c r="EE47" s="28"/>
      <c r="EF47" s="28"/>
    </row>
    <row r="48" spans="15:136" ht="8.25" customHeight="1"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146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U48" s="28"/>
      <c r="BV48" s="28"/>
      <c r="BW48" s="28"/>
      <c r="BX48" s="28"/>
      <c r="BY48" s="28"/>
      <c r="BZ48" s="28"/>
      <c r="CA48" s="28"/>
      <c r="CB48" s="28"/>
      <c r="CC48" s="28"/>
      <c r="CD48" s="418" t="s">
        <v>138</v>
      </c>
      <c r="CE48" s="404"/>
      <c r="CF48" s="404"/>
      <c r="CG48" s="404"/>
      <c r="CH48" s="404"/>
      <c r="CI48" s="404"/>
      <c r="CJ48" s="404"/>
      <c r="CK48" s="404"/>
      <c r="CL48" s="404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Q48" s="28"/>
      <c r="DR48" s="28"/>
      <c r="DS48" s="28"/>
      <c r="DT48" s="28"/>
      <c r="DU48" s="155"/>
      <c r="DV48" s="155"/>
      <c r="DW48" s="155"/>
      <c r="DX48" s="155"/>
      <c r="DY48" s="155"/>
      <c r="DZ48" s="155"/>
      <c r="EA48" s="155"/>
      <c r="EB48" s="155"/>
      <c r="EC48" s="155"/>
      <c r="ED48" s="155"/>
      <c r="EE48" s="28"/>
      <c r="EF48" s="28"/>
    </row>
    <row r="49" spans="16:136" ht="8.25" customHeight="1">
      <c r="P49" s="28"/>
      <c r="Q49" s="28"/>
      <c r="R49" s="28"/>
      <c r="S49" s="28"/>
      <c r="T49" s="28"/>
      <c r="U49" s="28"/>
      <c r="V49" s="28"/>
      <c r="W49" s="28"/>
      <c r="X49" s="28"/>
      <c r="Y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146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U49" s="28"/>
      <c r="BV49" s="28"/>
      <c r="BW49" s="28"/>
      <c r="BX49" s="28"/>
      <c r="BY49" s="28"/>
      <c r="BZ49" s="28"/>
      <c r="CA49" s="28"/>
      <c r="CB49" s="28"/>
      <c r="CC49" s="28"/>
      <c r="CD49" s="404"/>
      <c r="CE49" s="404"/>
      <c r="CF49" s="404"/>
      <c r="CG49" s="404"/>
      <c r="CH49" s="404"/>
      <c r="CI49" s="404"/>
      <c r="CJ49" s="404"/>
      <c r="CK49" s="404"/>
      <c r="CL49" s="404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C49" s="28"/>
      <c r="DD49" s="28"/>
      <c r="DQ49" s="28"/>
      <c r="DR49" s="28"/>
      <c r="DS49" s="28"/>
      <c r="DT49" s="28"/>
      <c r="DU49" s="155"/>
      <c r="DV49" s="155"/>
      <c r="DW49" s="155"/>
      <c r="DX49" s="155"/>
      <c r="DY49" s="155"/>
      <c r="DZ49" s="155"/>
      <c r="EA49" s="155"/>
      <c r="EB49" s="155"/>
      <c r="EC49" s="155"/>
      <c r="ED49" s="155"/>
      <c r="EE49" s="28"/>
      <c r="EF49" s="28"/>
    </row>
    <row r="50" spans="2:108" ht="8.25" customHeight="1">
      <c r="B50" s="407" t="s">
        <v>229</v>
      </c>
      <c r="C50" s="419"/>
      <c r="D50" s="419"/>
      <c r="E50" s="419"/>
      <c r="F50" s="419"/>
      <c r="G50" s="419"/>
      <c r="H50" s="419"/>
      <c r="I50" s="419"/>
      <c r="J50" s="419"/>
      <c r="K50" s="419"/>
      <c r="L50" s="419"/>
      <c r="M50" s="420"/>
      <c r="U50" s="28"/>
      <c r="V50" s="28"/>
      <c r="W50" s="28"/>
      <c r="X50" s="28"/>
      <c r="Y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146"/>
      <c r="BI50" s="28"/>
      <c r="BJ50" s="28"/>
      <c r="BV50" s="28"/>
      <c r="BW50" s="28"/>
      <c r="BX50" s="28"/>
      <c r="BY50" s="28"/>
      <c r="BZ50" s="28"/>
      <c r="CA50" s="28"/>
      <c r="CB50" s="28"/>
      <c r="CC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</row>
    <row r="51" spans="2:132" ht="8.25" customHeight="1">
      <c r="B51" s="421"/>
      <c r="C51" s="422"/>
      <c r="D51" s="422"/>
      <c r="E51" s="422"/>
      <c r="F51" s="422"/>
      <c r="G51" s="422"/>
      <c r="H51" s="422"/>
      <c r="I51" s="422"/>
      <c r="J51" s="422"/>
      <c r="K51" s="422"/>
      <c r="L51" s="422"/>
      <c r="M51" s="423"/>
      <c r="U51" s="28"/>
      <c r="V51" s="28"/>
      <c r="W51" s="28"/>
      <c r="X51" s="28"/>
      <c r="Y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146"/>
      <c r="BI51" s="28"/>
      <c r="BJ51" s="28"/>
      <c r="BV51" s="28"/>
      <c r="BW51" s="28"/>
      <c r="BX51" s="28"/>
      <c r="BY51" s="28"/>
      <c r="BZ51" s="28"/>
      <c r="CA51" s="28"/>
      <c r="CB51" s="28"/>
      <c r="CC51" s="28"/>
      <c r="CD51" s="28"/>
      <c r="CE51" s="151"/>
      <c r="CF51" s="151"/>
      <c r="CG51" s="151"/>
      <c r="CH51" s="151"/>
      <c r="CI51" s="151"/>
      <c r="CJ51" s="151"/>
      <c r="CK51" s="151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S51" s="155"/>
      <c r="DT51" s="155"/>
      <c r="DU51" s="155"/>
      <c r="DV51" s="155"/>
      <c r="DW51" s="155"/>
      <c r="DX51" s="155"/>
      <c r="DY51" s="155"/>
      <c r="DZ51" s="155"/>
      <c r="EA51" s="28"/>
      <c r="EB51" s="28"/>
    </row>
    <row r="52" spans="2:132" ht="8.25" customHeight="1">
      <c r="B52" s="421"/>
      <c r="C52" s="422"/>
      <c r="D52" s="422"/>
      <c r="E52" s="422"/>
      <c r="F52" s="422"/>
      <c r="G52" s="422"/>
      <c r="H52" s="422"/>
      <c r="I52" s="422"/>
      <c r="J52" s="422"/>
      <c r="K52" s="422"/>
      <c r="L52" s="422"/>
      <c r="M52" s="423"/>
      <c r="Q52" s="28"/>
      <c r="R52" s="28"/>
      <c r="S52" s="28"/>
      <c r="T52" s="28"/>
      <c r="U52" s="28"/>
      <c r="V52" s="28"/>
      <c r="W52" s="28"/>
      <c r="X52" s="28"/>
      <c r="Y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146"/>
      <c r="BI52" s="28"/>
      <c r="BJ52" s="28"/>
      <c r="BV52" s="28"/>
      <c r="BW52" s="28"/>
      <c r="BX52" s="28"/>
      <c r="BY52" s="28"/>
      <c r="BZ52" s="28"/>
      <c r="CA52" s="28"/>
      <c r="CB52" s="28"/>
      <c r="CC52" s="28"/>
      <c r="CD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S52" s="155"/>
      <c r="DT52" s="155"/>
      <c r="DU52" s="155"/>
      <c r="DV52" s="155"/>
      <c r="DW52" s="155"/>
      <c r="DX52" s="155"/>
      <c r="DY52" s="155"/>
      <c r="DZ52" s="155"/>
      <c r="EA52" s="28"/>
      <c r="EB52" s="28"/>
    </row>
    <row r="53" spans="2:132" ht="8.25" customHeight="1">
      <c r="B53" s="421"/>
      <c r="C53" s="422"/>
      <c r="D53" s="422"/>
      <c r="E53" s="422"/>
      <c r="F53" s="422"/>
      <c r="G53" s="422"/>
      <c r="H53" s="422"/>
      <c r="I53" s="422"/>
      <c r="J53" s="422"/>
      <c r="K53" s="422"/>
      <c r="L53" s="422"/>
      <c r="M53" s="423"/>
      <c r="Q53" s="28"/>
      <c r="R53" s="28"/>
      <c r="S53" s="28"/>
      <c r="T53" s="28"/>
      <c r="U53" s="28"/>
      <c r="V53" s="28"/>
      <c r="W53" s="28"/>
      <c r="X53" s="28"/>
      <c r="Y53" s="28"/>
      <c r="AF53" s="28"/>
      <c r="AG53" s="28"/>
      <c r="AH53" s="28"/>
      <c r="AI53" s="28"/>
      <c r="AQ53" s="28"/>
      <c r="AR53" s="146"/>
      <c r="BI53" s="28"/>
      <c r="BJ53" s="28"/>
      <c r="BV53" s="28"/>
      <c r="BW53" s="28"/>
      <c r="BX53" s="28"/>
      <c r="BY53" s="28"/>
      <c r="BZ53" s="28"/>
      <c r="CA53" s="28"/>
      <c r="CB53" s="28"/>
      <c r="CC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S53" s="155"/>
      <c r="DT53" s="155"/>
      <c r="DU53" s="155"/>
      <c r="DV53" s="155"/>
      <c r="DW53" s="155"/>
      <c r="DX53" s="155"/>
      <c r="DY53" s="155"/>
      <c r="DZ53" s="155"/>
      <c r="EA53" s="28"/>
      <c r="EB53" s="28"/>
    </row>
    <row r="54" spans="2:132" ht="8.25" customHeight="1">
      <c r="B54" s="424"/>
      <c r="C54" s="425"/>
      <c r="D54" s="425"/>
      <c r="E54" s="425"/>
      <c r="F54" s="425"/>
      <c r="G54" s="425"/>
      <c r="H54" s="425"/>
      <c r="I54" s="425"/>
      <c r="J54" s="425"/>
      <c r="K54" s="425"/>
      <c r="L54" s="425"/>
      <c r="M54" s="426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Q54" s="28"/>
      <c r="AR54" s="146"/>
      <c r="BI54" s="28"/>
      <c r="BJ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S54" s="155"/>
      <c r="DT54" s="155"/>
      <c r="DU54" s="155"/>
      <c r="DV54" s="155"/>
      <c r="DW54" s="155"/>
      <c r="DX54" s="155"/>
      <c r="DY54" s="155"/>
      <c r="DZ54" s="155"/>
      <c r="EA54" s="28"/>
      <c r="EB54" s="28"/>
    </row>
    <row r="55" spans="6:132" ht="8.25" customHeight="1">
      <c r="F55" s="150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Q55" s="28"/>
      <c r="AR55" s="146"/>
      <c r="BI55" s="28"/>
      <c r="BJ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S55" s="155"/>
      <c r="DT55" s="155"/>
      <c r="DU55" s="155"/>
      <c r="DV55" s="155"/>
      <c r="DW55" s="155"/>
      <c r="DX55" s="155"/>
      <c r="DY55" s="155"/>
      <c r="DZ55" s="155"/>
      <c r="EA55" s="28"/>
      <c r="EB55" s="28"/>
    </row>
    <row r="56" spans="6:132" ht="8.25" customHeight="1">
      <c r="F56" s="150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Q56" s="28"/>
      <c r="AR56" s="146"/>
      <c r="BI56" s="28"/>
      <c r="BJ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S56" s="155"/>
      <c r="DT56" s="155"/>
      <c r="DU56" s="155"/>
      <c r="DV56" s="155"/>
      <c r="DW56" s="155"/>
      <c r="DX56" s="155"/>
      <c r="DY56" s="155"/>
      <c r="DZ56" s="155"/>
      <c r="EA56" s="28"/>
      <c r="EB56" s="28"/>
    </row>
    <row r="57" spans="6:132" ht="8.25" customHeight="1">
      <c r="F57" s="150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Q57" s="28"/>
      <c r="AR57" s="146"/>
      <c r="BI57" s="28"/>
      <c r="BJ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S57" s="155"/>
      <c r="DT57" s="155"/>
      <c r="DU57" s="155"/>
      <c r="DV57" s="155"/>
      <c r="DW57" s="155"/>
      <c r="DX57" s="155"/>
      <c r="DY57" s="155"/>
      <c r="DZ57" s="155"/>
      <c r="EA57" s="28"/>
      <c r="EB57" s="28"/>
    </row>
    <row r="58" spans="6:132" ht="8.25" customHeight="1">
      <c r="F58" s="150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AB58" s="28"/>
      <c r="AC58" s="28"/>
      <c r="AD58" s="28"/>
      <c r="AE58" s="28"/>
      <c r="AF58" s="28"/>
      <c r="AG58" s="28"/>
      <c r="AH58" s="28"/>
      <c r="AI58" s="28"/>
      <c r="AQ58" s="28"/>
      <c r="AR58" s="146"/>
      <c r="BI58" s="28"/>
      <c r="BJ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S58" s="155"/>
      <c r="DT58" s="155"/>
      <c r="DU58" s="155"/>
      <c r="DV58" s="155"/>
      <c r="DW58" s="155"/>
      <c r="DX58" s="155"/>
      <c r="DY58" s="155"/>
      <c r="DZ58" s="155"/>
      <c r="EA58" s="28"/>
      <c r="EB58" s="28"/>
    </row>
    <row r="59" spans="6:111" ht="7.5" customHeight="1">
      <c r="F59" s="150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U59" s="28"/>
      <c r="V59" s="28"/>
      <c r="W59" s="28"/>
      <c r="X59" s="28"/>
      <c r="AB59" s="28"/>
      <c r="AC59" s="28"/>
      <c r="AD59" s="28"/>
      <c r="AE59" s="28"/>
      <c r="AF59" s="28"/>
      <c r="AG59" s="28"/>
      <c r="AH59" s="28"/>
      <c r="AI59" s="28"/>
      <c r="AQ59" s="28"/>
      <c r="AR59" s="146"/>
      <c r="BI59" s="28"/>
      <c r="BJ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Y59" s="28"/>
      <c r="CZ59" s="28"/>
      <c r="DA59" s="28"/>
      <c r="DB59" s="28"/>
      <c r="DC59" s="28"/>
      <c r="DD59" s="28"/>
      <c r="DG59" s="28"/>
    </row>
    <row r="60" spans="6:108" ht="7.5" customHeight="1">
      <c r="F60" s="152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28"/>
      <c r="R60" s="28"/>
      <c r="U60" s="28"/>
      <c r="V60" s="28"/>
      <c r="W60" s="28"/>
      <c r="X60" s="28"/>
      <c r="AB60" s="28"/>
      <c r="AC60" s="28"/>
      <c r="AD60" s="28"/>
      <c r="AE60" s="28"/>
      <c r="AF60" s="28"/>
      <c r="AG60" s="28"/>
      <c r="AH60" s="28"/>
      <c r="AI60" s="28"/>
      <c r="AQ60" s="28"/>
      <c r="AR60" s="146"/>
      <c r="BI60" s="28"/>
      <c r="BJ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Y60" s="28"/>
      <c r="CZ60" s="28"/>
      <c r="DA60" s="28"/>
      <c r="DB60" s="28"/>
      <c r="DC60" s="28"/>
      <c r="DD60" s="28"/>
    </row>
    <row r="61" spans="17:106" ht="7.5" customHeight="1">
      <c r="Q61" s="150"/>
      <c r="R61" s="28"/>
      <c r="U61" s="28"/>
      <c r="V61" s="28"/>
      <c r="W61" s="28"/>
      <c r="X61" s="28"/>
      <c r="AB61" s="28"/>
      <c r="AC61" s="28"/>
      <c r="AD61" s="28"/>
      <c r="AE61" s="28"/>
      <c r="AF61" s="28"/>
      <c r="AG61" s="28"/>
      <c r="AQ61" s="28"/>
      <c r="AR61" s="28"/>
      <c r="AS61" s="150"/>
      <c r="BI61" s="28"/>
      <c r="BJ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Y61" s="28"/>
      <c r="CZ61" s="28"/>
      <c r="DA61" s="28"/>
      <c r="DB61" s="28"/>
    </row>
    <row r="62" spans="17:140" ht="7.5" customHeight="1">
      <c r="Q62" s="150"/>
      <c r="R62" s="28"/>
      <c r="U62" s="28"/>
      <c r="V62" s="28"/>
      <c r="W62" s="28"/>
      <c r="X62" s="28"/>
      <c r="AQ62" s="28"/>
      <c r="AR62" s="146"/>
      <c r="AS62" s="150"/>
      <c r="BI62" s="28"/>
      <c r="BJ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Y62" s="28"/>
      <c r="CZ62" s="28"/>
      <c r="DA62" s="28"/>
      <c r="DB62" s="28"/>
      <c r="DG62" s="28"/>
      <c r="DH62" s="28"/>
      <c r="DI62" s="28"/>
      <c r="DJ62" s="28"/>
      <c r="DY62" s="395"/>
      <c r="DZ62" s="396"/>
      <c r="EA62" s="396"/>
      <c r="EB62" s="396"/>
      <c r="EC62" s="396"/>
      <c r="ED62" s="396"/>
      <c r="EE62" s="396"/>
      <c r="EF62" s="396"/>
      <c r="EG62" s="396"/>
      <c r="EH62" s="396"/>
      <c r="EI62" s="396"/>
      <c r="EJ62" s="397"/>
    </row>
    <row r="63" spans="17:140" ht="7.5" customHeight="1">
      <c r="Q63" s="150"/>
      <c r="R63" s="28"/>
      <c r="U63" s="28"/>
      <c r="V63" s="28"/>
      <c r="W63" s="28"/>
      <c r="X63" s="28"/>
      <c r="AQ63" s="28"/>
      <c r="AR63" s="146"/>
      <c r="AS63" s="150"/>
      <c r="BI63" s="28"/>
      <c r="BJ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Y63" s="28"/>
      <c r="CZ63" s="28"/>
      <c r="DA63" s="28"/>
      <c r="DB63" s="28"/>
      <c r="DG63" s="28"/>
      <c r="DH63" s="28"/>
      <c r="DI63" s="28"/>
      <c r="DJ63" s="28"/>
      <c r="DY63" s="395"/>
      <c r="DZ63" s="396"/>
      <c r="EA63" s="396"/>
      <c r="EB63" s="396"/>
      <c r="EC63" s="396"/>
      <c r="ED63" s="396"/>
      <c r="EE63" s="396"/>
      <c r="EF63" s="396"/>
      <c r="EG63" s="396"/>
      <c r="EH63" s="396"/>
      <c r="EI63" s="396"/>
      <c r="EJ63" s="397"/>
    </row>
    <row r="64" spans="9:140" ht="7.5" customHeight="1">
      <c r="I64" s="28"/>
      <c r="J64" s="28"/>
      <c r="K64" s="28"/>
      <c r="L64" s="28"/>
      <c r="M64" s="28"/>
      <c r="N64" s="28"/>
      <c r="O64" s="28"/>
      <c r="P64" s="28"/>
      <c r="Q64" s="150"/>
      <c r="R64" s="28"/>
      <c r="S64" s="28"/>
      <c r="T64" s="28"/>
      <c r="U64" s="28"/>
      <c r="V64" s="28"/>
      <c r="W64" s="28"/>
      <c r="X64" s="28"/>
      <c r="AN64" s="28"/>
      <c r="AO64" s="28"/>
      <c r="AP64" s="28"/>
      <c r="AQ64" s="28"/>
      <c r="AR64" s="146"/>
      <c r="AS64" s="150"/>
      <c r="BI64" s="28"/>
      <c r="BJ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DD64" s="28"/>
      <c r="DE64" s="28"/>
      <c r="DF64" s="28"/>
      <c r="DG64" s="28"/>
      <c r="DH64" s="28"/>
      <c r="DI64" s="28"/>
      <c r="DJ64" s="28"/>
      <c r="DY64" s="395"/>
      <c r="DZ64" s="396"/>
      <c r="EA64" s="396"/>
      <c r="EB64" s="396"/>
      <c r="EC64" s="396"/>
      <c r="ED64" s="396"/>
      <c r="EE64" s="396"/>
      <c r="EF64" s="396"/>
      <c r="EG64" s="396"/>
      <c r="EH64" s="396"/>
      <c r="EI64" s="396"/>
      <c r="EJ64" s="397"/>
    </row>
    <row r="65" spans="9:140" ht="7.5" customHeight="1">
      <c r="I65" s="28"/>
      <c r="J65" s="28"/>
      <c r="K65" s="28"/>
      <c r="L65" s="28"/>
      <c r="M65" s="28"/>
      <c r="N65" s="28"/>
      <c r="O65" s="28"/>
      <c r="P65" s="28"/>
      <c r="Q65" s="150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N65" s="28"/>
      <c r="AO65" s="28"/>
      <c r="AP65" s="28"/>
      <c r="AQ65" s="28"/>
      <c r="AR65" s="146"/>
      <c r="AS65" s="150"/>
      <c r="BI65" s="28"/>
      <c r="BJ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DD65" s="151"/>
      <c r="DE65" s="151"/>
      <c r="DF65" s="151"/>
      <c r="DG65" s="151"/>
      <c r="DH65" s="151"/>
      <c r="DI65" s="151"/>
      <c r="DJ65" s="151"/>
      <c r="DK65" s="151"/>
      <c r="DY65" s="395"/>
      <c r="DZ65" s="396"/>
      <c r="EA65" s="396"/>
      <c r="EB65" s="396"/>
      <c r="EC65" s="396"/>
      <c r="ED65" s="396"/>
      <c r="EE65" s="396"/>
      <c r="EF65" s="396"/>
      <c r="EG65" s="396"/>
      <c r="EH65" s="396"/>
      <c r="EI65" s="396"/>
      <c r="EJ65" s="397"/>
    </row>
    <row r="66" spans="9:140" ht="7.5" customHeight="1">
      <c r="I66" s="28"/>
      <c r="J66" s="28"/>
      <c r="K66" s="28"/>
      <c r="L66" s="28"/>
      <c r="M66" s="28"/>
      <c r="N66" s="28"/>
      <c r="O66" s="28"/>
      <c r="P66" s="28"/>
      <c r="Q66" s="150"/>
      <c r="R66" s="28"/>
      <c r="S66" s="28"/>
      <c r="Y66" s="28"/>
      <c r="Z66" s="28"/>
      <c r="AA66" s="28"/>
      <c r="AB66" s="28"/>
      <c r="AC66" s="28"/>
      <c r="AD66" s="28"/>
      <c r="AE66" s="28"/>
      <c r="AF66" s="28"/>
      <c r="AG66" s="28"/>
      <c r="AN66" s="28"/>
      <c r="AO66" s="28"/>
      <c r="AP66" s="28"/>
      <c r="AQ66" s="28"/>
      <c r="AR66" s="146"/>
      <c r="AS66" s="150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DK66" s="148"/>
      <c r="DY66" s="398"/>
      <c r="DZ66" s="385"/>
      <c r="EA66" s="385"/>
      <c r="EB66" s="385"/>
      <c r="EC66" s="385"/>
      <c r="ED66" s="385"/>
      <c r="EE66" s="385"/>
      <c r="EF66" s="385"/>
      <c r="EG66" s="385"/>
      <c r="EH66" s="385"/>
      <c r="EI66" s="385"/>
      <c r="EJ66" s="386"/>
    </row>
    <row r="67" spans="9:116" ht="7.5" customHeight="1">
      <c r="I67" s="28"/>
      <c r="J67" s="28"/>
      <c r="K67" s="28"/>
      <c r="L67" s="28"/>
      <c r="M67" s="28"/>
      <c r="N67" s="28"/>
      <c r="O67" s="28"/>
      <c r="P67" s="28"/>
      <c r="Q67" s="150"/>
      <c r="R67" s="28"/>
      <c r="S67" s="28"/>
      <c r="Y67" s="28"/>
      <c r="Z67" s="28"/>
      <c r="AA67" s="28"/>
      <c r="AB67" s="28"/>
      <c r="AC67" s="28"/>
      <c r="AD67" s="28"/>
      <c r="AE67" s="28"/>
      <c r="AF67" s="28"/>
      <c r="AG67" s="28"/>
      <c r="AN67" s="28"/>
      <c r="AO67" s="28"/>
      <c r="AP67" s="28"/>
      <c r="AQ67" s="28"/>
      <c r="AR67" s="146"/>
      <c r="AS67" s="150"/>
      <c r="BI67" s="28"/>
      <c r="BJ67" s="28"/>
      <c r="BM67" s="28"/>
      <c r="BN67" s="28"/>
      <c r="BO67" s="28"/>
      <c r="BP67" s="28"/>
      <c r="BQ67" s="28"/>
      <c r="BR67" s="28"/>
      <c r="BS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DL67" s="28"/>
    </row>
    <row r="68" spans="9:139" ht="7.5" customHeight="1">
      <c r="I68" s="28"/>
      <c r="J68" s="28"/>
      <c r="K68" s="28"/>
      <c r="L68" s="28"/>
      <c r="M68" s="28"/>
      <c r="N68" s="28"/>
      <c r="O68" s="28"/>
      <c r="P68" s="28"/>
      <c r="Q68" s="150"/>
      <c r="R68" s="28"/>
      <c r="S68" s="28"/>
      <c r="Y68" s="28"/>
      <c r="Z68" s="28"/>
      <c r="AA68" s="28"/>
      <c r="AB68" s="28"/>
      <c r="AC68" s="28"/>
      <c r="AD68" s="28"/>
      <c r="AE68" s="28"/>
      <c r="AF68" s="28"/>
      <c r="AG68" s="28"/>
      <c r="AN68" s="28"/>
      <c r="AO68" s="28"/>
      <c r="AP68" s="28"/>
      <c r="AQ68" s="28"/>
      <c r="AR68" s="146"/>
      <c r="AS68" s="150"/>
      <c r="BI68" s="28"/>
      <c r="BJ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DE68" s="28"/>
      <c r="DF68" s="28"/>
      <c r="DG68" s="28"/>
      <c r="DH68" s="28"/>
      <c r="DI68" s="28"/>
      <c r="DJ68" s="28"/>
      <c r="DK68" s="28"/>
      <c r="DL68" s="28"/>
      <c r="EA68" s="276"/>
      <c r="EB68" s="37"/>
      <c r="EC68" s="37"/>
      <c r="ED68" s="37"/>
      <c r="EE68" s="37"/>
      <c r="EF68" s="37"/>
      <c r="EG68" s="37"/>
      <c r="EH68" s="37"/>
      <c r="EI68" s="37"/>
    </row>
    <row r="69" spans="9:139" ht="7.5" customHeight="1">
      <c r="I69" s="28"/>
      <c r="J69" s="28"/>
      <c r="K69" s="28"/>
      <c r="L69" s="28"/>
      <c r="M69" s="28"/>
      <c r="N69" s="28"/>
      <c r="O69" s="28"/>
      <c r="P69" s="28"/>
      <c r="Q69" s="150"/>
      <c r="R69" s="28"/>
      <c r="S69" s="28"/>
      <c r="Y69" s="28"/>
      <c r="Z69" s="28"/>
      <c r="AA69" s="28"/>
      <c r="AB69" s="28"/>
      <c r="AC69" s="28"/>
      <c r="AD69" s="28"/>
      <c r="AE69" s="28"/>
      <c r="AF69" s="28"/>
      <c r="AG69" s="28"/>
      <c r="AN69" s="28"/>
      <c r="AO69" s="28"/>
      <c r="AP69" s="28"/>
      <c r="AQ69" s="28"/>
      <c r="AR69" s="146"/>
      <c r="AS69" s="150"/>
      <c r="BI69" s="28"/>
      <c r="BJ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DE69" s="28"/>
      <c r="DF69" s="28"/>
      <c r="DG69" s="28"/>
      <c r="DH69" s="28"/>
      <c r="DI69" s="28"/>
      <c r="DJ69" s="28"/>
      <c r="DK69" s="28"/>
      <c r="DL69" s="28"/>
      <c r="EA69" s="37"/>
      <c r="EB69" s="37"/>
      <c r="EC69" s="37"/>
      <c r="ED69" s="37"/>
      <c r="EE69" s="37"/>
      <c r="EF69" s="37"/>
      <c r="EG69" s="37"/>
      <c r="EH69" s="37"/>
      <c r="EI69" s="37"/>
    </row>
    <row r="70" spans="9:139" ht="7.5" customHeight="1">
      <c r="I70" s="28"/>
      <c r="J70" s="28"/>
      <c r="K70" s="28"/>
      <c r="L70" s="28"/>
      <c r="M70" s="28"/>
      <c r="N70" s="28"/>
      <c r="O70" s="28"/>
      <c r="P70" s="28"/>
      <c r="Q70" s="150"/>
      <c r="R70" s="28"/>
      <c r="S70" s="28"/>
      <c r="Y70" s="28"/>
      <c r="Z70" s="28"/>
      <c r="AA70" s="28"/>
      <c r="AB70" s="28"/>
      <c r="AC70" s="28"/>
      <c r="AD70" s="28"/>
      <c r="AE70" s="28"/>
      <c r="AF70" s="28"/>
      <c r="AG70" s="28"/>
      <c r="AN70" s="28"/>
      <c r="AO70" s="28"/>
      <c r="AP70" s="28"/>
      <c r="AQ70" s="28"/>
      <c r="AR70" s="146"/>
      <c r="AS70" s="150"/>
      <c r="BI70" s="28"/>
      <c r="BJ70" s="28"/>
      <c r="BK70" s="28"/>
      <c r="BL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DE70" s="28"/>
      <c r="DF70" s="28"/>
      <c r="DG70" s="28"/>
      <c r="DH70" s="28"/>
      <c r="DI70" s="28"/>
      <c r="DJ70" s="28"/>
      <c r="DK70" s="28"/>
      <c r="DL70" s="28"/>
      <c r="DX70" s="28"/>
      <c r="DY70" s="28"/>
      <c r="DZ70" s="28"/>
      <c r="EA70" s="37"/>
      <c r="EB70" s="37"/>
      <c r="EC70" s="37"/>
      <c r="ED70" s="37"/>
      <c r="EE70" s="37"/>
      <c r="EF70" s="37"/>
      <c r="EG70" s="37"/>
      <c r="EH70" s="37"/>
      <c r="EI70" s="37"/>
    </row>
    <row r="71" spans="9:139" ht="7.5" customHeight="1">
      <c r="I71" s="28"/>
      <c r="J71" s="28"/>
      <c r="K71" s="28"/>
      <c r="L71" s="28"/>
      <c r="M71" s="28"/>
      <c r="N71" s="28"/>
      <c r="O71" s="28"/>
      <c r="P71" s="28"/>
      <c r="Q71" s="150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N71" s="28"/>
      <c r="AO71" s="28"/>
      <c r="AP71" s="28"/>
      <c r="AQ71" s="28"/>
      <c r="AR71" s="146"/>
      <c r="AS71" s="150"/>
      <c r="BI71" s="28"/>
      <c r="BJ71" s="28"/>
      <c r="BK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DI71" s="28"/>
      <c r="DJ71" s="28"/>
      <c r="DK71" s="28"/>
      <c r="DL71" s="28"/>
      <c r="DX71" s="28"/>
      <c r="DY71" s="28"/>
      <c r="DZ71" s="28"/>
      <c r="EA71" s="37"/>
      <c r="EB71" s="37"/>
      <c r="EC71" s="37"/>
      <c r="ED71" s="37"/>
      <c r="EE71" s="37"/>
      <c r="EF71" s="37"/>
      <c r="EG71" s="37"/>
      <c r="EH71" s="37"/>
      <c r="EI71" s="37"/>
    </row>
    <row r="72" spans="2:140" ht="7.5" customHeight="1">
      <c r="B72" s="387" t="s">
        <v>224</v>
      </c>
      <c r="C72" s="388"/>
      <c r="D72" s="388"/>
      <c r="E72" s="388"/>
      <c r="F72" s="388"/>
      <c r="G72" s="388"/>
      <c r="H72" s="388"/>
      <c r="P72" s="28"/>
      <c r="Q72" s="150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N72" s="28"/>
      <c r="AO72" s="28"/>
      <c r="AP72" s="28"/>
      <c r="AQ72" s="28"/>
      <c r="AR72" s="146"/>
      <c r="AS72" s="150"/>
      <c r="BI72" s="28"/>
      <c r="BJ72" s="28"/>
      <c r="BK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DI72" s="28"/>
      <c r="DJ72" s="28"/>
      <c r="DK72" s="28"/>
      <c r="DL72" s="28"/>
      <c r="DM72" s="28"/>
      <c r="DN72" s="144"/>
      <c r="DO72" s="144"/>
      <c r="DP72" s="144"/>
      <c r="DQ72" s="144"/>
      <c r="DR72" s="144"/>
      <c r="DS72" s="144"/>
      <c r="DT72" s="28"/>
      <c r="DU72" s="28"/>
      <c r="DV72" s="28"/>
      <c r="DW72" s="28"/>
      <c r="DX72" s="28"/>
      <c r="DY72" s="28"/>
      <c r="DZ72" s="28"/>
      <c r="EA72" s="14"/>
      <c r="EB72" s="14"/>
      <c r="EC72" s="14"/>
      <c r="ED72" s="14"/>
      <c r="EE72" s="14"/>
      <c r="EF72" s="14"/>
      <c r="EG72" s="14"/>
      <c r="EH72" s="14"/>
      <c r="EI72" s="14"/>
      <c r="EJ72" s="28"/>
    </row>
    <row r="73" spans="2:140" ht="7.5" customHeight="1">
      <c r="B73" s="388"/>
      <c r="C73" s="388"/>
      <c r="D73" s="388"/>
      <c r="E73" s="388"/>
      <c r="F73" s="388"/>
      <c r="G73" s="388"/>
      <c r="H73" s="388"/>
      <c r="P73" s="28"/>
      <c r="Q73" s="150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N73" s="28"/>
      <c r="AO73" s="28"/>
      <c r="AP73" s="28"/>
      <c r="AQ73" s="28"/>
      <c r="AR73" s="146"/>
      <c r="AS73" s="150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DI73" s="28"/>
      <c r="DJ73" s="28"/>
      <c r="DK73" s="28"/>
      <c r="DL73" s="28"/>
      <c r="DM73" s="28"/>
      <c r="DN73" s="14"/>
      <c r="DO73" s="14"/>
      <c r="DP73" s="14"/>
      <c r="DQ73" s="14"/>
      <c r="DR73" s="14"/>
      <c r="DS73" s="14"/>
      <c r="DT73" s="28"/>
      <c r="DU73" s="28"/>
      <c r="DV73" s="28"/>
      <c r="DW73" s="28"/>
      <c r="DX73" s="28"/>
      <c r="DY73" s="28"/>
      <c r="DZ73" s="28"/>
      <c r="EA73" s="28"/>
      <c r="EB73" s="144"/>
      <c r="EC73" s="144"/>
      <c r="ED73" s="144"/>
      <c r="EE73" s="144"/>
      <c r="EF73" s="144"/>
      <c r="EG73" s="144"/>
      <c r="EH73" s="28"/>
      <c r="EI73" s="28"/>
      <c r="EJ73" s="28"/>
    </row>
    <row r="74" spans="9:140" ht="7.5" customHeight="1">
      <c r="I74" s="28"/>
      <c r="J74" s="28"/>
      <c r="K74" s="28"/>
      <c r="L74" s="28"/>
      <c r="M74" s="28"/>
      <c r="N74" s="28"/>
      <c r="O74" s="28"/>
      <c r="P74" s="28"/>
      <c r="Q74" s="150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407" t="s">
        <v>312</v>
      </c>
      <c r="AE74" s="408"/>
      <c r="AF74" s="408"/>
      <c r="AG74" s="408"/>
      <c r="AH74" s="408"/>
      <c r="AI74" s="408"/>
      <c r="AJ74" s="408"/>
      <c r="AK74" s="409"/>
      <c r="AL74" s="28"/>
      <c r="AM74" s="28"/>
      <c r="AN74" s="28"/>
      <c r="AO74" s="28"/>
      <c r="AP74" s="28"/>
      <c r="AQ74" s="28"/>
      <c r="AR74" s="146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14"/>
      <c r="EC74" s="14"/>
      <c r="ED74" s="14"/>
      <c r="EE74" s="14"/>
      <c r="EF74" s="14"/>
      <c r="EG74" s="14"/>
      <c r="EH74" s="28"/>
      <c r="EI74" s="28"/>
      <c r="EJ74" s="28"/>
    </row>
    <row r="75" spans="3:140" ht="7.5" customHeight="1"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28"/>
      <c r="O75" s="28"/>
      <c r="P75" s="151"/>
      <c r="Q75" s="152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410"/>
      <c r="AE75" s="411"/>
      <c r="AF75" s="411"/>
      <c r="AG75" s="411"/>
      <c r="AH75" s="411"/>
      <c r="AI75" s="411"/>
      <c r="AJ75" s="411"/>
      <c r="AK75" s="412"/>
      <c r="AL75" s="151"/>
      <c r="AM75" s="151"/>
      <c r="AN75" s="151"/>
      <c r="AO75" s="151"/>
      <c r="AP75" s="151"/>
      <c r="AQ75" s="151"/>
      <c r="AR75" s="153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</row>
    <row r="76" spans="9:140" ht="7.5" customHeight="1">
      <c r="I76" s="28"/>
      <c r="J76" s="28"/>
      <c r="K76" s="28"/>
      <c r="L76" s="28"/>
      <c r="M76" s="28"/>
      <c r="N76" s="148"/>
      <c r="O76" s="148"/>
      <c r="P76" s="28"/>
      <c r="Q76" s="148"/>
      <c r="R76" s="28"/>
      <c r="S76" s="28"/>
      <c r="T76" s="28"/>
      <c r="U76" s="28"/>
      <c r="V76" s="28"/>
      <c r="W76" s="28"/>
      <c r="X76" s="28"/>
      <c r="AD76" s="410"/>
      <c r="AE76" s="411"/>
      <c r="AF76" s="411"/>
      <c r="AG76" s="411"/>
      <c r="AH76" s="411"/>
      <c r="AI76" s="411"/>
      <c r="AJ76" s="411"/>
      <c r="AK76" s="412"/>
      <c r="AM76" s="28"/>
      <c r="AN76" s="28"/>
      <c r="AO76" s="28"/>
      <c r="AP76" s="28"/>
      <c r="AQ76" s="28"/>
      <c r="AR76" s="28"/>
      <c r="AS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</row>
    <row r="77" spans="9:140" ht="7.5" customHeight="1"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AD77" s="410"/>
      <c r="AE77" s="411"/>
      <c r="AF77" s="411"/>
      <c r="AG77" s="411"/>
      <c r="AH77" s="411"/>
      <c r="AI77" s="411"/>
      <c r="AJ77" s="411"/>
      <c r="AK77" s="412"/>
      <c r="AM77" s="28"/>
      <c r="AN77" s="28"/>
      <c r="AO77" s="28"/>
      <c r="AP77" s="28"/>
      <c r="AQ77" s="28"/>
      <c r="AR77" s="28"/>
      <c r="AS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</row>
    <row r="78" spans="17:140" ht="7.5" customHeight="1">
      <c r="Q78" s="28"/>
      <c r="R78" s="28"/>
      <c r="S78" s="28"/>
      <c r="T78" s="28"/>
      <c r="U78" s="28"/>
      <c r="V78" s="28"/>
      <c r="W78" s="28"/>
      <c r="X78" s="28"/>
      <c r="AD78" s="410"/>
      <c r="AE78" s="411"/>
      <c r="AF78" s="411"/>
      <c r="AG78" s="411"/>
      <c r="AH78" s="411"/>
      <c r="AI78" s="411"/>
      <c r="AJ78" s="411"/>
      <c r="AK78" s="412"/>
      <c r="AM78" s="28"/>
      <c r="AN78" s="28"/>
      <c r="AO78" s="28"/>
      <c r="AP78" s="28"/>
      <c r="AQ78" s="28"/>
      <c r="AR78" s="28"/>
      <c r="AS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</row>
    <row r="79" spans="17:118" ht="7.5" customHeight="1">
      <c r="Q79" s="28"/>
      <c r="R79" s="28"/>
      <c r="S79" s="28"/>
      <c r="T79" s="28"/>
      <c r="U79" s="28"/>
      <c r="V79" s="28"/>
      <c r="W79" s="28"/>
      <c r="X79" s="28"/>
      <c r="AD79" s="410"/>
      <c r="AE79" s="411"/>
      <c r="AF79" s="411"/>
      <c r="AG79" s="411"/>
      <c r="AH79" s="411"/>
      <c r="AI79" s="411"/>
      <c r="AJ79" s="411"/>
      <c r="AK79" s="412"/>
      <c r="AL79" s="28"/>
      <c r="AM79" s="28"/>
      <c r="AN79" s="28"/>
      <c r="AO79" s="28"/>
      <c r="AP79" s="28"/>
      <c r="AQ79" s="28"/>
      <c r="AR79" s="28"/>
      <c r="AS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</row>
    <row r="80" spans="17:118" ht="7.5" customHeight="1">
      <c r="Q80" s="28"/>
      <c r="R80" s="28"/>
      <c r="S80" s="28"/>
      <c r="T80" s="28"/>
      <c r="U80" s="28"/>
      <c r="V80" s="28"/>
      <c r="W80" s="28"/>
      <c r="X80" s="28"/>
      <c r="AD80" s="410"/>
      <c r="AE80" s="411"/>
      <c r="AF80" s="411"/>
      <c r="AG80" s="411"/>
      <c r="AH80" s="411"/>
      <c r="AI80" s="411"/>
      <c r="AJ80" s="411"/>
      <c r="AK80" s="412"/>
      <c r="AL80" s="28"/>
      <c r="AM80" s="28"/>
      <c r="AN80" s="28"/>
      <c r="AO80" s="28"/>
      <c r="AP80" s="28"/>
      <c r="AQ80" s="28"/>
      <c r="AR80" s="28"/>
      <c r="AS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</row>
    <row r="81" spans="17:118" ht="7.5" customHeight="1">
      <c r="Q81" s="28"/>
      <c r="R81" s="28"/>
      <c r="S81" s="28"/>
      <c r="T81" s="28"/>
      <c r="U81" s="28"/>
      <c r="V81" s="28"/>
      <c r="W81" s="28"/>
      <c r="X81" s="28"/>
      <c r="AD81" s="413"/>
      <c r="AE81" s="414"/>
      <c r="AF81" s="414"/>
      <c r="AG81" s="414"/>
      <c r="AH81" s="414"/>
      <c r="AI81" s="414"/>
      <c r="AJ81" s="414"/>
      <c r="AK81" s="415"/>
      <c r="AL81" s="28"/>
      <c r="AM81" s="28"/>
      <c r="AN81" s="28"/>
      <c r="AO81" s="28"/>
      <c r="AP81" s="28"/>
      <c r="AQ81" s="28"/>
      <c r="AR81" s="28"/>
      <c r="AS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</row>
    <row r="82" spans="38:118" ht="7.5" customHeight="1">
      <c r="AL82" s="28"/>
      <c r="AM82" s="28"/>
      <c r="AN82" s="28"/>
      <c r="AO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</row>
    <row r="83" spans="38:118" ht="7.5" customHeight="1">
      <c r="AL83" s="28"/>
      <c r="AM83" s="28"/>
      <c r="AN83" s="28"/>
      <c r="AO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</row>
    <row r="84" spans="38:118" ht="7.5" customHeight="1">
      <c r="AL84" s="28"/>
      <c r="AM84" s="28"/>
      <c r="AN84" s="28"/>
      <c r="AO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</row>
    <row r="85" spans="38:118" ht="7.5" customHeight="1">
      <c r="AL85" s="28"/>
      <c r="AM85" s="28"/>
      <c r="AN85" s="28"/>
      <c r="AO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</row>
    <row r="86" spans="38:118" ht="7.5" customHeight="1">
      <c r="AL86" s="28"/>
      <c r="AM86" s="28"/>
      <c r="AN86" s="28"/>
      <c r="AO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</row>
    <row r="87" spans="38:118" ht="7.5" customHeight="1">
      <c r="AL87" s="28"/>
      <c r="AM87" s="28"/>
      <c r="AN87" s="28"/>
      <c r="AO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</row>
    <row r="88" spans="38:118" ht="7.5" customHeight="1">
      <c r="AL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</row>
    <row r="89" spans="38:118" ht="7.5" customHeight="1">
      <c r="AL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</row>
    <row r="90" spans="107:118" ht="7.5" customHeight="1"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</row>
    <row r="91" spans="107:118" ht="7.5" customHeight="1"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</row>
    <row r="92" spans="107:118" ht="7.5" customHeight="1"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</row>
    <row r="93" spans="107:118" ht="7.5" customHeight="1"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</row>
  </sheetData>
  <mergeCells count="18">
    <mergeCell ref="AQ6:BE7"/>
    <mergeCell ref="B13:G23"/>
    <mergeCell ref="K13:P23"/>
    <mergeCell ref="AJ13:AR16"/>
    <mergeCell ref="EC17:EL24"/>
    <mergeCell ref="CR21:CZ22"/>
    <mergeCell ref="CL27:CO29"/>
    <mergeCell ref="ED28:EK35"/>
    <mergeCell ref="DY62:EJ66"/>
    <mergeCell ref="B72:H73"/>
    <mergeCell ref="AT34:BE38"/>
    <mergeCell ref="CQ33:DB37"/>
    <mergeCell ref="CD41:CL42"/>
    <mergeCell ref="CQ41:DB45"/>
    <mergeCell ref="AD74:AK81"/>
    <mergeCell ref="AT22:BE26"/>
    <mergeCell ref="CD48:CL49"/>
    <mergeCell ref="B50:M54"/>
  </mergeCells>
  <printOptions horizontalCentered="1"/>
  <pageMargins left="0.7874015748031497" right="0.1968503937007874" top="0.7874015748031497" bottom="0.984251968503937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129"/>
  <sheetViews>
    <sheetView tabSelected="1" zoomScale="75" zoomScaleNormal="75" zoomScaleSheetLayoutView="75" workbookViewId="0" topLeftCell="A63">
      <selection activeCell="L91" sqref="L91"/>
    </sheetView>
  </sheetViews>
  <sheetFormatPr defaultColWidth="8.75390625" defaultRowHeight="12.75"/>
  <cols>
    <col min="2" max="2" width="8.75390625" style="0" customWidth="1"/>
    <col min="4" max="5" width="9.125" style="0" customWidth="1"/>
    <col min="7" max="7" width="9.00390625" style="0" bestFit="1" customWidth="1"/>
    <col min="14" max="14" width="10.00390625" style="0" bestFit="1" customWidth="1"/>
    <col min="73" max="73" width="9.125" style="0" customWidth="1"/>
  </cols>
  <sheetData>
    <row r="1" spans="2:60" ht="19.5" customHeight="1">
      <c r="B1" s="61"/>
      <c r="C1" s="61"/>
      <c r="F1" s="61"/>
      <c r="G1" s="61"/>
      <c r="H1" s="61"/>
      <c r="I1" s="63" t="s">
        <v>192</v>
      </c>
      <c r="J1" s="62">
        <f>E65</f>
        <v>1</v>
      </c>
      <c r="K1" s="63"/>
      <c r="N1" s="63"/>
      <c r="O1" s="63"/>
      <c r="P1" s="63"/>
      <c r="Q1" s="63"/>
      <c r="R1" s="63"/>
      <c r="S1" s="63" t="s">
        <v>191</v>
      </c>
      <c r="T1" s="62">
        <f>E65</f>
        <v>1</v>
      </c>
      <c r="U1" s="64"/>
      <c r="Y1" s="63"/>
      <c r="Z1" s="63"/>
      <c r="AA1" s="63"/>
      <c r="AB1" s="63"/>
      <c r="AC1" s="63" t="s">
        <v>191</v>
      </c>
      <c r="AD1" s="62">
        <f>E65</f>
        <v>1</v>
      </c>
      <c r="AH1" s="23"/>
      <c r="AI1" s="23"/>
      <c r="AJ1" s="23"/>
      <c r="AK1" s="23"/>
      <c r="AL1" s="23"/>
      <c r="AM1" s="63" t="s">
        <v>64</v>
      </c>
      <c r="AN1" s="62">
        <f>E65</f>
        <v>1</v>
      </c>
      <c r="AQ1" s="61"/>
      <c r="AR1" s="61"/>
      <c r="AS1" s="61"/>
      <c r="AT1" s="61"/>
      <c r="AU1" s="61"/>
      <c r="AV1" s="61"/>
      <c r="AW1" s="63" t="s">
        <v>193</v>
      </c>
      <c r="AX1" s="62">
        <f>E65</f>
        <v>1</v>
      </c>
      <c r="BA1" s="61"/>
      <c r="BB1" s="61"/>
      <c r="BC1" s="61"/>
      <c r="BD1" s="61"/>
      <c r="BE1" s="61"/>
      <c r="BF1" s="61"/>
      <c r="BG1" s="63" t="s">
        <v>193</v>
      </c>
      <c r="BH1" s="62">
        <f>E65</f>
        <v>1</v>
      </c>
    </row>
    <row r="2" spans="3:28" ht="15" customHeight="1">
      <c r="C2" s="61"/>
      <c r="D2" s="61"/>
      <c r="E2" s="61"/>
      <c r="F2" s="61"/>
      <c r="G2" s="61"/>
      <c r="H2" s="61"/>
      <c r="N2" s="62" t="s">
        <v>55</v>
      </c>
      <c r="O2" s="63"/>
      <c r="P2" s="63"/>
      <c r="Q2" s="63"/>
      <c r="R2" s="63"/>
      <c r="X2" s="62" t="s">
        <v>55</v>
      </c>
      <c r="Y2" s="62"/>
      <c r="Z2" s="62"/>
      <c r="AA2" s="62"/>
      <c r="AB2" s="62"/>
    </row>
    <row r="3" spans="1:59" ht="17.25" customHeight="1">
      <c r="A3" s="65" t="s">
        <v>61</v>
      </c>
      <c r="B3" s="66"/>
      <c r="C3" s="66"/>
      <c r="D3" s="66"/>
      <c r="E3" s="66"/>
      <c r="F3" s="66"/>
      <c r="G3" s="66"/>
      <c r="H3" s="66"/>
      <c r="I3" s="66"/>
      <c r="K3" s="67" t="s">
        <v>222</v>
      </c>
      <c r="L3" s="65"/>
      <c r="M3" s="65"/>
      <c r="N3" s="65"/>
      <c r="O3" s="65"/>
      <c r="P3" s="65"/>
      <c r="Q3" s="65"/>
      <c r="R3" s="65"/>
      <c r="S3" s="65"/>
      <c r="U3" s="65" t="s">
        <v>106</v>
      </c>
      <c r="W3" s="66"/>
      <c r="X3" s="66"/>
      <c r="Y3" s="66"/>
      <c r="Z3" s="66"/>
      <c r="AA3" s="66"/>
      <c r="AB3" s="66"/>
      <c r="AC3" s="66"/>
      <c r="AQ3" s="261"/>
      <c r="AR3" s="263" t="s">
        <v>194</v>
      </c>
      <c r="AS3" s="261"/>
      <c r="AT3" s="261"/>
      <c r="AU3" s="261"/>
      <c r="AV3" s="261"/>
      <c r="AW3" s="261"/>
      <c r="AX3" s="262"/>
      <c r="AY3" s="262"/>
      <c r="BA3" s="261"/>
      <c r="BB3" s="263" t="s">
        <v>194</v>
      </c>
      <c r="BC3" s="261"/>
      <c r="BD3" s="261"/>
      <c r="BE3" s="261"/>
      <c r="BF3" s="261"/>
      <c r="BG3" s="261"/>
    </row>
    <row r="4" spans="31:32" ht="12.75" customHeight="1">
      <c r="AE4" s="68" t="s">
        <v>107</v>
      </c>
      <c r="AF4" s="68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spans="51:52" ht="12.75" customHeight="1">
      <c r="AY15" s="47"/>
      <c r="AZ15" s="6"/>
    </row>
    <row r="16" spans="51:52" ht="12.75" customHeight="1">
      <c r="AY16" s="47"/>
      <c r="AZ16" s="6"/>
    </row>
    <row r="17" spans="51:57" ht="12.75" customHeight="1">
      <c r="AY17" s="437" t="s">
        <v>58</v>
      </c>
      <c r="AZ17" s="438"/>
      <c r="BA17" s="69">
        <f>J67</f>
        <v>99</v>
      </c>
      <c r="BB17" s="438" t="s">
        <v>105</v>
      </c>
      <c r="BC17" s="438"/>
      <c r="BD17" s="439"/>
      <c r="BE17" s="70">
        <f>J70</f>
        <v>116</v>
      </c>
    </row>
    <row r="18" ht="12.75" customHeight="1"/>
    <row r="19" ht="12.75" customHeight="1"/>
    <row r="20" ht="12.75" customHeight="1"/>
    <row r="21" ht="12.75" customHeight="1"/>
    <row r="22" spans="1:28" ht="14.25" customHeight="1">
      <c r="A22" s="65" t="s">
        <v>56</v>
      </c>
      <c r="C22" s="66"/>
      <c r="D22" s="66"/>
      <c r="E22" s="66"/>
      <c r="F22" s="66"/>
      <c r="G22" s="66"/>
      <c r="H22" s="66"/>
      <c r="I22" s="66"/>
      <c r="K22" s="65" t="s">
        <v>223</v>
      </c>
      <c r="M22" s="71"/>
      <c r="N22" s="71"/>
      <c r="O22" s="71"/>
      <c r="P22" s="71"/>
      <c r="Q22" s="71"/>
      <c r="R22" s="71"/>
      <c r="S22" s="71"/>
      <c r="U22" s="65" t="s">
        <v>57</v>
      </c>
      <c r="V22" s="65"/>
      <c r="W22" s="65"/>
      <c r="X22" s="65"/>
      <c r="Y22" s="65"/>
      <c r="Z22" s="65"/>
      <c r="AA22" s="65"/>
      <c r="AB22" s="65"/>
    </row>
    <row r="23" ht="12.75" customHeight="1"/>
    <row r="24" ht="12.75" customHeight="1"/>
    <row r="25" ht="12.75" customHeight="1"/>
    <row r="26" ht="12.75" customHeight="1"/>
    <row r="27" ht="12.75" customHeight="1"/>
    <row r="28" spans="51:52" ht="12.75" customHeight="1">
      <c r="AY28" s="47"/>
      <c r="AZ28" s="6"/>
    </row>
    <row r="29" spans="41:52" ht="12.75" customHeight="1">
      <c r="AO29" s="440" t="s">
        <v>58</v>
      </c>
      <c r="AP29" s="440"/>
      <c r="AQ29" s="71">
        <f>J67</f>
        <v>99</v>
      </c>
      <c r="AR29" s="441" t="s">
        <v>62</v>
      </c>
      <c r="AS29" s="441"/>
      <c r="AT29" s="404"/>
      <c r="AU29" s="404"/>
      <c r="AV29" s="71">
        <f>J70</f>
        <v>116</v>
      </c>
      <c r="AY29" s="47"/>
      <c r="AZ29" s="6"/>
    </row>
    <row r="30" spans="51:52" ht="12.75" customHeight="1">
      <c r="AY30" s="47"/>
      <c r="AZ30" s="6"/>
    </row>
    <row r="31" spans="51:57" ht="12.75" customHeight="1">
      <c r="AY31" s="437" t="s">
        <v>58</v>
      </c>
      <c r="AZ31" s="438"/>
      <c r="BA31" s="69">
        <f>I67</f>
        <v>83</v>
      </c>
      <c r="BB31" s="438" t="s">
        <v>105</v>
      </c>
      <c r="BC31" s="438"/>
      <c r="BD31" s="439"/>
      <c r="BE31" s="70">
        <f>I70</f>
        <v>0</v>
      </c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spans="1:28" ht="14.25" customHeight="1">
      <c r="A41" s="73" t="s">
        <v>108</v>
      </c>
      <c r="C41" s="71"/>
      <c r="D41" s="71"/>
      <c r="E41" s="71"/>
      <c r="F41" s="71"/>
      <c r="G41" s="71"/>
      <c r="H41" s="71"/>
      <c r="I41" s="71"/>
      <c r="K41" s="65" t="s">
        <v>131</v>
      </c>
      <c r="M41" s="71"/>
      <c r="N41" s="71"/>
      <c r="O41" s="71"/>
      <c r="P41" s="71"/>
      <c r="Q41" s="71"/>
      <c r="R41" s="71"/>
      <c r="S41" s="71"/>
      <c r="U41" s="73" t="s">
        <v>104</v>
      </c>
      <c r="V41" s="65"/>
      <c r="W41" s="65"/>
      <c r="X41" s="65"/>
      <c r="Y41" s="65"/>
      <c r="Z41" s="65"/>
      <c r="AA41" s="65"/>
      <c r="AB41" s="65"/>
    </row>
    <row r="42" ht="12.75" customHeight="1"/>
    <row r="43" spans="51:52" ht="12.75" customHeight="1">
      <c r="AY43" s="47"/>
      <c r="AZ43" s="6"/>
    </row>
    <row r="44" spans="51:52" ht="12.75" customHeight="1">
      <c r="AY44" s="47"/>
      <c r="AZ44" s="6"/>
    </row>
    <row r="45" spans="51:57" ht="12.75" customHeight="1">
      <c r="AY45" s="437" t="s">
        <v>58</v>
      </c>
      <c r="AZ45" s="438"/>
      <c r="BA45" s="69">
        <f>H67</f>
        <v>77</v>
      </c>
      <c r="BB45" s="438" t="s">
        <v>105</v>
      </c>
      <c r="BC45" s="438"/>
      <c r="BD45" s="439"/>
      <c r="BE45" s="70">
        <f>H70</f>
        <v>0</v>
      </c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spans="41:52" ht="12.75" customHeight="1">
      <c r="AO57" s="448" t="s">
        <v>58</v>
      </c>
      <c r="AP57" s="448"/>
      <c r="AQ57" s="71">
        <f>G67</f>
        <v>71</v>
      </c>
      <c r="AR57" s="441" t="s">
        <v>62</v>
      </c>
      <c r="AS57" s="441"/>
      <c r="AT57" s="404"/>
      <c r="AU57" s="404"/>
      <c r="AV57" s="71">
        <f>G70</f>
        <v>122</v>
      </c>
      <c r="AY57" s="47"/>
      <c r="AZ57" s="6"/>
    </row>
    <row r="58" spans="51:52" ht="12.75" customHeight="1">
      <c r="AY58" s="47"/>
      <c r="AZ58" s="6"/>
    </row>
    <row r="59" spans="38:57" ht="12.75" customHeight="1">
      <c r="AL59" s="449" t="s">
        <v>63</v>
      </c>
      <c r="AM59" s="450"/>
      <c r="AN59" s="450"/>
      <c r="AY59" s="437" t="s">
        <v>58</v>
      </c>
      <c r="AZ59" s="438"/>
      <c r="BA59" s="69">
        <f>G67</f>
        <v>71</v>
      </c>
      <c r="BB59" s="438" t="s">
        <v>105</v>
      </c>
      <c r="BC59" s="438"/>
      <c r="BD59" s="439"/>
      <c r="BE59" s="70">
        <f>G70</f>
        <v>122</v>
      </c>
    </row>
    <row r="60" spans="38:40" ht="12.75" customHeight="1">
      <c r="AL60" s="450"/>
      <c r="AM60" s="450"/>
      <c r="AN60" s="450"/>
    </row>
    <row r="61" spans="31:39" ht="12.75" customHeight="1">
      <c r="AE61" s="72"/>
      <c r="AF61" s="72"/>
      <c r="AG61" s="37"/>
      <c r="AH61" s="72"/>
      <c r="AI61" s="72"/>
      <c r="AJ61" s="4"/>
      <c r="AL61" s="66"/>
      <c r="AM61" s="66"/>
    </row>
    <row r="62" ht="12.75" customHeight="1"/>
    <row r="64" ht="12.75" customHeight="1" thickBot="1"/>
    <row r="65" spans="1:50" ht="12.75" customHeight="1" thickBot="1" thickTop="1">
      <c r="A65" s="74" t="s">
        <v>79</v>
      </c>
      <c r="B65" s="75">
        <f>0.15*0.86</f>
        <v>0.129</v>
      </c>
      <c r="C65" s="76"/>
      <c r="D65" s="451" t="s">
        <v>75</v>
      </c>
      <c r="E65" s="453">
        <v>1</v>
      </c>
      <c r="F65" s="76"/>
      <c r="G65" s="76"/>
      <c r="H65" s="77"/>
      <c r="I65" s="77"/>
      <c r="J65" s="77"/>
      <c r="K65" s="78"/>
      <c r="L65" s="76"/>
      <c r="M65" s="76"/>
      <c r="N65" s="76"/>
      <c r="O65" s="76"/>
      <c r="P65" s="76"/>
      <c r="Q65" s="76"/>
      <c r="R65" s="76"/>
      <c r="S65" s="76"/>
      <c r="T65" s="76"/>
      <c r="AU65" s="79">
        <f>G79</f>
        <v>9.03</v>
      </c>
      <c r="AV65" s="80">
        <f>G79</f>
        <v>9.03</v>
      </c>
      <c r="AW65" s="81">
        <v>11.8</v>
      </c>
      <c r="AX65" s="82">
        <v>0</v>
      </c>
    </row>
    <row r="66" spans="1:50" ht="13.5" thickBot="1">
      <c r="A66" s="74" t="s">
        <v>80</v>
      </c>
      <c r="B66" s="75">
        <v>0.8</v>
      </c>
      <c r="C66" s="284">
        <f>7314*10^(-6)*100/B65</f>
        <v>5.669767441860465</v>
      </c>
      <c r="D66" s="452"/>
      <c r="E66" s="452"/>
      <c r="F66" s="83"/>
      <c r="G66" s="84" t="s">
        <v>59</v>
      </c>
      <c r="H66" s="84" t="s">
        <v>60</v>
      </c>
      <c r="I66" s="84" t="s">
        <v>69</v>
      </c>
      <c r="J66" s="84" t="s">
        <v>68</v>
      </c>
      <c r="K66" s="78"/>
      <c r="L66" s="76"/>
      <c r="M66" s="76"/>
      <c r="N66" s="76"/>
      <c r="O66" s="76"/>
      <c r="P66" s="76"/>
      <c r="Q66" s="76"/>
      <c r="R66" s="76"/>
      <c r="S66" s="76"/>
      <c r="T66" s="76"/>
      <c r="AU66" s="85">
        <f>G78</f>
        <v>4.9</v>
      </c>
      <c r="AV66" s="86">
        <v>0</v>
      </c>
      <c r="AW66" s="87">
        <v>0</v>
      </c>
      <c r="AX66" s="88">
        <v>21</v>
      </c>
    </row>
    <row r="67" spans="1:50" ht="13.5" thickBot="1">
      <c r="A67" s="74" t="s">
        <v>333</v>
      </c>
      <c r="B67" s="75">
        <v>92</v>
      </c>
      <c r="C67" s="76"/>
      <c r="D67" s="76"/>
      <c r="E67" s="76"/>
      <c r="F67" s="89" t="s">
        <v>70</v>
      </c>
      <c r="G67" s="90">
        <f>ROUND((G68/B65*100),0)</f>
        <v>71</v>
      </c>
      <c r="H67" s="90">
        <f>ROUND((H68/B65*100),0)</f>
        <v>77</v>
      </c>
      <c r="I67" s="90">
        <f>ROUND((I68/B65*100),0)</f>
        <v>83</v>
      </c>
      <c r="J67" s="90">
        <f>ROUND((J68/B65*100),0)</f>
        <v>99</v>
      </c>
      <c r="K67" s="78"/>
      <c r="L67" s="76"/>
      <c r="M67" s="76"/>
      <c r="N67" s="76"/>
      <c r="O67" s="91"/>
      <c r="P67" s="91"/>
      <c r="Q67" s="91"/>
      <c r="R67" s="76"/>
      <c r="S67" s="76"/>
      <c r="T67" s="76"/>
      <c r="AU67" s="85">
        <f>G78*0.999</f>
        <v>4.8951</v>
      </c>
      <c r="AV67" s="86">
        <f>G78</f>
        <v>4.9</v>
      </c>
      <c r="AW67" s="92"/>
      <c r="AX67" s="91"/>
    </row>
    <row r="68" spans="1:50" ht="14.25" thickBot="1" thickTop="1">
      <c r="A68" s="74" t="s">
        <v>65</v>
      </c>
      <c r="B68" s="75">
        <v>8182</v>
      </c>
      <c r="C68" s="454"/>
      <c r="D68" s="455"/>
      <c r="E68" s="76"/>
      <c r="F68" s="93" t="s">
        <v>85</v>
      </c>
      <c r="G68" s="94">
        <f>ROUND(B84*(100-G81-G83-G84),3)</f>
        <v>0.092</v>
      </c>
      <c r="H68" s="94">
        <f>ROUND(C84*(100-H81-H83-H84),3)</f>
        <v>0.099</v>
      </c>
      <c r="I68" s="94">
        <f>ROUND(D84*(100-I81-I83-I84),3)</f>
        <v>0.107</v>
      </c>
      <c r="J68" s="94">
        <f>ROUND(E84*(100-J81-J83-J84),3)</f>
        <v>0.128</v>
      </c>
      <c r="K68" s="78"/>
      <c r="L68" s="76"/>
      <c r="M68" s="76"/>
      <c r="N68" s="76"/>
      <c r="O68" s="91"/>
      <c r="P68" s="95" t="s">
        <v>76</v>
      </c>
      <c r="Q68" s="96">
        <f>ROUND((G69*$B68*Q83*10^-8),5)</f>
        <v>0.09161</v>
      </c>
      <c r="R68" s="96">
        <f>ROUND((H69*$B68*R83*10^-8),5)</f>
        <v>0.09918</v>
      </c>
      <c r="S68" s="96">
        <f>ROUND((I69*$B68*S83*10^-8),5)</f>
        <v>0.10675</v>
      </c>
      <c r="T68" s="96">
        <f>ROUND((J69*$B68*T83*10^-8),5)</f>
        <v>0.12934</v>
      </c>
      <c r="AU68" s="97">
        <f>G79</f>
        <v>9.03</v>
      </c>
      <c r="AV68" s="98">
        <v>0</v>
      </c>
      <c r="AW68" s="91"/>
      <c r="AX68" s="91"/>
    </row>
    <row r="69" spans="1:50" ht="13.5" thickBot="1">
      <c r="A69" s="76"/>
      <c r="B69" s="76"/>
      <c r="C69" s="99"/>
      <c r="D69" s="20"/>
      <c r="E69" s="20"/>
      <c r="F69" s="74" t="s">
        <v>51</v>
      </c>
      <c r="G69" s="100">
        <v>12</v>
      </c>
      <c r="H69" s="100">
        <v>13</v>
      </c>
      <c r="I69" s="100">
        <v>14</v>
      </c>
      <c r="J69" s="101">
        <f>B75</f>
        <v>17</v>
      </c>
      <c r="K69" s="78"/>
      <c r="L69" s="76"/>
      <c r="M69" s="76"/>
      <c r="N69" s="76"/>
      <c r="O69" s="91"/>
      <c r="P69" s="91"/>
      <c r="Q69" s="102"/>
      <c r="R69" s="103"/>
      <c r="S69" s="103"/>
      <c r="T69" s="103"/>
      <c r="AU69" s="104">
        <f>H79</f>
        <v>8.81</v>
      </c>
      <c r="AV69" s="105">
        <f>H79</f>
        <v>8.81</v>
      </c>
      <c r="AW69" s="91"/>
      <c r="AX69" s="91"/>
    </row>
    <row r="70" spans="1:50" ht="13.5" thickBot="1">
      <c r="A70" s="84" t="s">
        <v>334</v>
      </c>
      <c r="B70" s="384">
        <f>ROUND(B65*10^8/(B67*B68),1)</f>
        <v>17.1</v>
      </c>
      <c r="C70" s="20"/>
      <c r="D70" s="20"/>
      <c r="E70" s="20"/>
      <c r="F70" s="74" t="s">
        <v>52</v>
      </c>
      <c r="G70" s="100">
        <v>122</v>
      </c>
      <c r="H70" s="100"/>
      <c r="I70" s="100"/>
      <c r="J70" s="100">
        <v>116</v>
      </c>
      <c r="K70" s="78"/>
      <c r="L70" s="76"/>
      <c r="M70" s="76"/>
      <c r="N70" s="76"/>
      <c r="O70" s="106"/>
      <c r="P70" s="106"/>
      <c r="Q70" s="102"/>
      <c r="R70" s="103"/>
      <c r="S70" s="103"/>
      <c r="T70" s="103"/>
      <c r="AU70" s="104">
        <f>H78</f>
        <v>5.3</v>
      </c>
      <c r="AV70" s="105">
        <v>0</v>
      </c>
      <c r="AW70" s="91"/>
      <c r="AX70" s="106"/>
    </row>
    <row r="71" spans="1:50" ht="13.5" thickBot="1">
      <c r="A71" s="76"/>
      <c r="B71" s="76"/>
      <c r="C71" s="442" t="s">
        <v>74</v>
      </c>
      <c r="D71" s="443"/>
      <c r="E71" s="444"/>
      <c r="F71" s="74" t="s">
        <v>53</v>
      </c>
      <c r="G71" s="100"/>
      <c r="H71" s="100"/>
      <c r="I71" s="100"/>
      <c r="J71" s="100"/>
      <c r="K71" s="78"/>
      <c r="L71" s="76"/>
      <c r="M71" s="76"/>
      <c r="N71" s="76"/>
      <c r="O71" s="107"/>
      <c r="P71" s="107"/>
      <c r="Q71" s="102"/>
      <c r="R71" s="103"/>
      <c r="S71" s="103"/>
      <c r="T71" s="103"/>
      <c r="AU71" s="104">
        <f>H78*0.999</f>
        <v>5.2947</v>
      </c>
      <c r="AV71" s="105">
        <f>H78</f>
        <v>5.3</v>
      </c>
      <c r="AW71" s="91"/>
      <c r="AX71" s="107"/>
    </row>
    <row r="72" spans="1:50" ht="13.5" thickBot="1">
      <c r="A72" s="76"/>
      <c r="B72" s="76"/>
      <c r="C72" s="445"/>
      <c r="D72" s="446"/>
      <c r="E72" s="447"/>
      <c r="F72" s="109" t="s">
        <v>54</v>
      </c>
      <c r="G72" s="110"/>
      <c r="H72" s="110"/>
      <c r="I72" s="110"/>
      <c r="J72" s="110"/>
      <c r="K72" s="78"/>
      <c r="L72" s="76"/>
      <c r="M72" s="76"/>
      <c r="N72" s="76"/>
      <c r="O72" s="106"/>
      <c r="P72" s="106"/>
      <c r="Q72" s="102"/>
      <c r="R72" s="103"/>
      <c r="S72" s="103"/>
      <c r="T72" s="103"/>
      <c r="AU72" s="111">
        <f>H79</f>
        <v>8.81</v>
      </c>
      <c r="AV72" s="112">
        <v>0</v>
      </c>
      <c r="AW72" s="91"/>
      <c r="AX72" s="106"/>
    </row>
    <row r="73" spans="1:50" ht="13.5" thickBot="1">
      <c r="A73" s="76"/>
      <c r="B73" s="76"/>
      <c r="C73" s="76"/>
      <c r="D73" s="76"/>
      <c r="E73" s="76"/>
      <c r="F73" s="76"/>
      <c r="G73" s="113">
        <f>Q74</f>
        <v>121</v>
      </c>
      <c r="H73" s="113">
        <f>R74</f>
        <v>127</v>
      </c>
      <c r="I73" s="113">
        <f>S74</f>
        <v>133</v>
      </c>
      <c r="J73" s="113">
        <f>T74</f>
        <v>143</v>
      </c>
      <c r="K73" s="76"/>
      <c r="L73" s="76"/>
      <c r="M73" s="76"/>
      <c r="N73" s="76"/>
      <c r="O73" s="76"/>
      <c r="P73" s="76"/>
      <c r="Q73" s="76"/>
      <c r="R73" s="76"/>
      <c r="S73" s="76"/>
      <c r="T73" s="76"/>
      <c r="AU73" s="114">
        <f>I79</f>
        <v>9.26</v>
      </c>
      <c r="AV73" s="115">
        <f>I79</f>
        <v>9.26</v>
      </c>
      <c r="AW73" s="91"/>
      <c r="AX73" s="106"/>
    </row>
    <row r="74" spans="1:50" ht="13.5" thickBot="1">
      <c r="A74" s="74" t="s">
        <v>67</v>
      </c>
      <c r="B74" s="75">
        <v>15</v>
      </c>
      <c r="C74" s="76"/>
      <c r="D74" s="76"/>
      <c r="E74" s="76"/>
      <c r="F74" s="74" t="s">
        <v>86</v>
      </c>
      <c r="G74" s="100">
        <v>120</v>
      </c>
      <c r="H74" s="100"/>
      <c r="I74" s="100"/>
      <c r="J74" s="100">
        <v>160</v>
      </c>
      <c r="K74" s="78"/>
      <c r="L74" s="76"/>
      <c r="M74" s="76"/>
      <c r="N74" s="76"/>
      <c r="O74" s="106"/>
      <c r="P74" s="116" t="s">
        <v>86</v>
      </c>
      <c r="Q74" s="117">
        <f>ROUND(Q81/(0.01*L82)+0.85*$B74,0)</f>
        <v>121</v>
      </c>
      <c r="R74" s="117">
        <f>ROUND(R81/(0.01*M82)+0.85*$B74,0)</f>
        <v>127</v>
      </c>
      <c r="S74" s="117">
        <f>ROUND(S81/(0.01*N82)+0.85*$B74,0)</f>
        <v>133</v>
      </c>
      <c r="T74" s="117">
        <f>ROUND(T81/(0.01*O82)+0.85*$B74,0)</f>
        <v>143</v>
      </c>
      <c r="AU74" s="114">
        <f>I78</f>
        <v>4.5</v>
      </c>
      <c r="AV74" s="115">
        <v>0</v>
      </c>
      <c r="AW74" s="78"/>
      <c r="AX74" s="78"/>
    </row>
    <row r="75" spans="1:50" ht="13.5" thickBot="1">
      <c r="A75" s="74" t="s">
        <v>66</v>
      </c>
      <c r="B75" s="75">
        <v>17</v>
      </c>
      <c r="C75" s="76"/>
      <c r="D75" s="76"/>
      <c r="E75" s="76"/>
      <c r="F75" s="84" t="s">
        <v>86</v>
      </c>
      <c r="G75" s="118">
        <f>IF(G74=0,Q74,G74)</f>
        <v>120</v>
      </c>
      <c r="H75" s="118">
        <f>IF(H74=0,R74,H74)</f>
        <v>127</v>
      </c>
      <c r="I75" s="118">
        <f>IF(I74=0,S74,I74)</f>
        <v>133</v>
      </c>
      <c r="J75" s="118">
        <f>IF(J74=0,T74,J74)</f>
        <v>160</v>
      </c>
      <c r="K75" s="78"/>
      <c r="L75" s="76"/>
      <c r="M75" s="76"/>
      <c r="N75" s="76"/>
      <c r="O75" s="78"/>
      <c r="P75" s="76"/>
      <c r="Q75" s="76"/>
      <c r="R75" s="76"/>
      <c r="S75" s="78"/>
      <c r="T75" s="76"/>
      <c r="AU75" s="114">
        <f>I78*0.999</f>
        <v>4.4955</v>
      </c>
      <c r="AV75" s="115">
        <f>I78</f>
        <v>4.5</v>
      </c>
      <c r="AW75" s="78"/>
      <c r="AX75" s="91"/>
    </row>
    <row r="76" spans="1:50" ht="13.5" thickBot="1">
      <c r="A76" s="108" t="s">
        <v>72</v>
      </c>
      <c r="B76" s="75">
        <v>37</v>
      </c>
      <c r="C76" s="76"/>
      <c r="D76" s="76"/>
      <c r="E76" s="76"/>
      <c r="F76" s="76"/>
      <c r="G76" s="113">
        <f>ROUND(Q77,1)</f>
        <v>6</v>
      </c>
      <c r="H76" s="113">
        <f>ROUND(R77,1)</f>
        <v>5.3</v>
      </c>
      <c r="I76" s="113">
        <f>ROUND(S77,1)</f>
        <v>4.5</v>
      </c>
      <c r="J76" s="113">
        <f>ROUND(T77,1)</f>
        <v>3.8</v>
      </c>
      <c r="K76" s="76"/>
      <c r="L76" s="76"/>
      <c r="M76" s="76"/>
      <c r="N76" s="76"/>
      <c r="O76" s="76"/>
      <c r="P76" s="76"/>
      <c r="Q76" s="76"/>
      <c r="R76" s="76"/>
      <c r="S76" s="76"/>
      <c r="T76" s="76"/>
      <c r="AU76" s="120">
        <f>I79</f>
        <v>9.26</v>
      </c>
      <c r="AV76" s="121">
        <v>0</v>
      </c>
      <c r="AW76" s="76"/>
      <c r="AX76" s="76"/>
    </row>
    <row r="77" spans="1:50" ht="13.5" thickBot="1">
      <c r="A77" s="76"/>
      <c r="B77" s="76"/>
      <c r="C77" s="76"/>
      <c r="D77" s="76"/>
      <c r="E77" s="76"/>
      <c r="F77" s="74" t="s">
        <v>87</v>
      </c>
      <c r="G77" s="100">
        <v>4.9</v>
      </c>
      <c r="H77" s="100"/>
      <c r="I77" s="100"/>
      <c r="J77" s="100"/>
      <c r="K77" s="76"/>
      <c r="L77" s="76"/>
      <c r="M77" s="76"/>
      <c r="N77" s="76"/>
      <c r="O77" s="102"/>
      <c r="P77" s="116" t="s">
        <v>98</v>
      </c>
      <c r="Q77" s="117">
        <f>ROUND(((21*Q80-21)/(Q80-0.1)),4)</f>
        <v>5.9714</v>
      </c>
      <c r="R77" s="117">
        <f>ROUND(((21*R80-21)/(R80-0.1)),4)</f>
        <v>5.2618</v>
      </c>
      <c r="S77" s="117">
        <f>ROUND(((21*S80-21)/(S80-0.1)),4)</f>
        <v>4.5452</v>
      </c>
      <c r="T77" s="117">
        <f>ROUND(((21*T80-21)/(T80-0.1)),4)</f>
        <v>3.8182</v>
      </c>
      <c r="AU77" s="122">
        <f>J79</f>
        <v>9.65</v>
      </c>
      <c r="AV77" s="123">
        <f>J79</f>
        <v>9.65</v>
      </c>
      <c r="AW77" s="76"/>
      <c r="AX77" s="76"/>
    </row>
    <row r="78" spans="1:50" ht="13.5" thickBot="1">
      <c r="A78" s="76"/>
      <c r="B78" s="76"/>
      <c r="C78" s="76"/>
      <c r="D78" s="76"/>
      <c r="E78" s="76"/>
      <c r="F78" s="84" t="s">
        <v>87</v>
      </c>
      <c r="G78" s="118">
        <f>IF(G77&gt;0,G77,ROUND(Q77,1))</f>
        <v>4.9</v>
      </c>
      <c r="H78" s="118">
        <f>IF(H77&gt;0,H77,ROUND(R77,1))</f>
        <v>5.3</v>
      </c>
      <c r="I78" s="118">
        <f>IF(I77&gt;0,I77,ROUND(S77,1))</f>
        <v>4.5</v>
      </c>
      <c r="J78" s="118">
        <f>IF(J77&gt;0,J77,ROUND(T77,1))</f>
        <v>3.8</v>
      </c>
      <c r="K78" s="76"/>
      <c r="L78" s="76"/>
      <c r="M78" s="76"/>
      <c r="N78" s="76"/>
      <c r="O78" s="76"/>
      <c r="P78" s="76"/>
      <c r="Q78" s="76"/>
      <c r="R78" s="76"/>
      <c r="S78" s="76"/>
      <c r="T78" s="76"/>
      <c r="AU78" s="122">
        <f>J78</f>
        <v>3.8</v>
      </c>
      <c r="AV78" s="123">
        <v>0</v>
      </c>
      <c r="AW78" s="76"/>
      <c r="AX78" s="76"/>
    </row>
    <row r="79" spans="1:50" ht="13.5" thickBot="1">
      <c r="A79" s="74" t="s">
        <v>81</v>
      </c>
      <c r="B79" s="75">
        <v>1.2</v>
      </c>
      <c r="C79" s="76"/>
      <c r="D79" s="76"/>
      <c r="E79" s="76"/>
      <c r="F79" s="84" t="s">
        <v>88</v>
      </c>
      <c r="G79" s="118">
        <f>ROUND((11.8-0.5646*G78),2)</f>
        <v>9.03</v>
      </c>
      <c r="H79" s="118">
        <f>ROUND((11.8-0.5646*H78),2)</f>
        <v>8.81</v>
      </c>
      <c r="I79" s="118">
        <f>ROUND((11.8-0.5646*I78),2)</f>
        <v>9.26</v>
      </c>
      <c r="J79" s="118">
        <f>ROUND((11.8-0.5646*J78),2)</f>
        <v>9.65</v>
      </c>
      <c r="K79" s="76"/>
      <c r="L79" s="76"/>
      <c r="M79" s="76"/>
      <c r="N79" s="76"/>
      <c r="O79" s="76"/>
      <c r="P79" s="116" t="s">
        <v>99</v>
      </c>
      <c r="Q79" s="117">
        <f>ROUND((11.8-0.5646*Q77),4)</f>
        <v>8.4285</v>
      </c>
      <c r="R79" s="117">
        <f>ROUND((11.8-0.5646*R77),4)</f>
        <v>8.8292</v>
      </c>
      <c r="S79" s="117">
        <f>ROUND((11.8-0.5646*S77),4)</f>
        <v>9.2338</v>
      </c>
      <c r="T79" s="117">
        <f>ROUND((11.8-0.5646*T77),4)</f>
        <v>9.6442</v>
      </c>
      <c r="AU79" s="122">
        <f>J78*0.999</f>
        <v>3.7962</v>
      </c>
      <c r="AV79" s="123">
        <f>J78</f>
        <v>3.8</v>
      </c>
      <c r="AW79" s="76"/>
      <c r="AX79" s="76"/>
    </row>
    <row r="80" spans="1:50" ht="13.5" thickBot="1">
      <c r="A80" s="119" t="s">
        <v>82</v>
      </c>
      <c r="B80" s="75">
        <v>0.2</v>
      </c>
      <c r="C80" s="103" t="s">
        <v>77</v>
      </c>
      <c r="D80" s="76"/>
      <c r="E80" s="76"/>
      <c r="F80" s="129" t="s">
        <v>89</v>
      </c>
      <c r="G80" s="101">
        <f>ROUND(((21-0.1*G78)/(21-G78)),2)</f>
        <v>1.27</v>
      </c>
      <c r="H80" s="101">
        <f>ROUND(((21-0.1*H78)/(21-H78)),2)</f>
        <v>1.3</v>
      </c>
      <c r="I80" s="101">
        <f>ROUND(((21-0.1*I78)/(21-I78)),2)</f>
        <v>1.25</v>
      </c>
      <c r="J80" s="101">
        <f>ROUND(((21-0.1*J78)/(21-J78)),2)</f>
        <v>1.2</v>
      </c>
      <c r="K80" s="76"/>
      <c r="L80" s="76"/>
      <c r="M80" s="76"/>
      <c r="N80" s="76"/>
      <c r="O80" s="76"/>
      <c r="P80" s="116" t="s">
        <v>100</v>
      </c>
      <c r="Q80" s="117">
        <f>ROUND(((T80-1)*B80*(B75/G69)+R80),4)</f>
        <v>1.3576</v>
      </c>
      <c r="R80" s="117">
        <f>ROUND(((T80-1)*B80*(B75/H69)+S80),4)</f>
        <v>1.3009</v>
      </c>
      <c r="S80" s="117">
        <f>ROUND(((T80-1)*B80*(B75/I69)+T80),4)</f>
        <v>1.2486</v>
      </c>
      <c r="T80" s="117">
        <f>B79</f>
        <v>1.2</v>
      </c>
      <c r="AU80" s="130">
        <f>J79</f>
        <v>9.65</v>
      </c>
      <c r="AV80" s="131">
        <v>0</v>
      </c>
      <c r="AW80" s="76"/>
      <c r="AX80" s="76"/>
    </row>
    <row r="81" spans="1:20" ht="13.5" thickBot="1">
      <c r="A81" s="74" t="s">
        <v>83</v>
      </c>
      <c r="B81" s="75">
        <v>93.3</v>
      </c>
      <c r="C81" s="76"/>
      <c r="D81" s="76"/>
      <c r="E81" s="76"/>
      <c r="F81" s="84" t="s">
        <v>90</v>
      </c>
      <c r="G81" s="118">
        <f>ROUND(0.01*B86*(G75-0.85*B74),2)</f>
        <v>5.41</v>
      </c>
      <c r="H81" s="118">
        <f>ROUND(0.01*C86*(H75-0.85*B74),2)</f>
        <v>5.88</v>
      </c>
      <c r="I81" s="118">
        <f>ROUND(0.01*D86*(I75-0.85*B74),2)</f>
        <v>5.95</v>
      </c>
      <c r="J81" s="118">
        <f>ROUND(0.01*E86*(J75-0.85*B74),2)</f>
        <v>7.07</v>
      </c>
      <c r="K81" s="76"/>
      <c r="L81" s="76"/>
      <c r="M81" s="76"/>
      <c r="N81" s="76"/>
      <c r="O81" s="76"/>
      <c r="P81" s="116" t="s">
        <v>101</v>
      </c>
      <c r="Q81" s="117">
        <f>ROUND((100-Q83-Q82),4)</f>
        <v>5.73</v>
      </c>
      <c r="R81" s="117">
        <f>$Q81*(($B82-1)*H69/$G69+2-$B82)</f>
        <v>5.825500000000002</v>
      </c>
      <c r="S81" s="117">
        <f>$Q81*(($B82-1)*I69/$G69+2-$B82)</f>
        <v>5.921000000000001</v>
      </c>
      <c r="T81" s="117">
        <f>$Q81*(($B82-1)*J69/$G69+2-$B82)</f>
        <v>6.2075000000000005</v>
      </c>
    </row>
    <row r="82" spans="1:20" ht="13.5" thickBot="1">
      <c r="A82" s="119" t="s">
        <v>84</v>
      </c>
      <c r="B82" s="75">
        <v>1.2</v>
      </c>
      <c r="C82" s="103" t="s">
        <v>73</v>
      </c>
      <c r="D82" s="76"/>
      <c r="E82" s="76"/>
      <c r="F82" s="74" t="s">
        <v>133</v>
      </c>
      <c r="G82" s="100"/>
      <c r="H82" s="100"/>
      <c r="I82" s="100"/>
      <c r="J82" s="100"/>
      <c r="K82" s="116" t="s">
        <v>97</v>
      </c>
      <c r="L82" s="117">
        <f>ROUND((Q79^-0.8048*29.557),4)</f>
        <v>5.3164</v>
      </c>
      <c r="M82" s="117">
        <f>ROUND((R79^-0.8048*29.557),4)</f>
        <v>5.1213</v>
      </c>
      <c r="N82" s="117">
        <f>ROUND((S79^-0.8048*29.557),4)</f>
        <v>4.9399</v>
      </c>
      <c r="O82" s="117">
        <f>ROUND((T79^-0.8048*29.557),4)</f>
        <v>4.77</v>
      </c>
      <c r="P82" s="127" t="s">
        <v>102</v>
      </c>
      <c r="Q82" s="117">
        <f>ROUND(($B66*(0.5+$B70/(2*G69))),4)</f>
        <v>0.97</v>
      </c>
      <c r="R82" s="117">
        <f>ROUND(($B66*(0.5+$B70/(2*H69))),4)</f>
        <v>0.9262</v>
      </c>
      <c r="S82" s="117">
        <f>ROUND(($B66*(0.5+$B70/(2*I69))),4)</f>
        <v>0.8886</v>
      </c>
      <c r="T82" s="117">
        <f>ROUND(($B66*(0.5+$B70/(2*J69))),4)</f>
        <v>0.8024</v>
      </c>
    </row>
    <row r="83" spans="1:20" ht="13.5" thickBot="1">
      <c r="A83" s="124"/>
      <c r="B83" s="125"/>
      <c r="C83" s="126"/>
      <c r="D83" s="126"/>
      <c r="E83" s="76"/>
      <c r="F83" s="84" t="s">
        <v>132</v>
      </c>
      <c r="G83" s="118">
        <f>ROUND((126.5*G82*10^(-4)*11.8*100/(4200*(G79+G82*10^(-4)))),1)</f>
        <v>0</v>
      </c>
      <c r="H83" s="118">
        <f>ROUND((126.5*H82*10^(-4)*11.8*100/(4200*(H79+H82*10^(-4)))),1)</f>
        <v>0</v>
      </c>
      <c r="I83" s="118">
        <f>ROUND((126.5*I82*10^(-4)*11.8*100/(4200*(I79+I82*10^(-4)))),1)</f>
        <v>0</v>
      </c>
      <c r="J83" s="118">
        <f>ROUND((126.5*J82*10^(-4)*11.8*100/(4200*(J79+J82*10^(-4)))),1)</f>
        <v>0</v>
      </c>
      <c r="K83" s="76"/>
      <c r="L83" s="78"/>
      <c r="M83" s="76"/>
      <c r="N83" s="76"/>
      <c r="O83" s="76"/>
      <c r="P83" s="116" t="s">
        <v>103</v>
      </c>
      <c r="Q83" s="117">
        <f>B81</f>
        <v>93.3</v>
      </c>
      <c r="R83" s="117">
        <f>ROUND(100-R81-R82,3)</f>
        <v>93.248</v>
      </c>
      <c r="S83" s="117">
        <f>ROUND(100-S81-S82,3)</f>
        <v>93.19</v>
      </c>
      <c r="T83" s="117">
        <f>ROUND(100-T81-T82,3)</f>
        <v>92.99</v>
      </c>
    </row>
    <row r="84" spans="1:20" ht="13.5" thickBot="1">
      <c r="A84" s="127" t="s">
        <v>71</v>
      </c>
      <c r="B84" s="128">
        <f>ROUND((G69*B68*10^-8),7)</f>
        <v>0.0009818</v>
      </c>
      <c r="C84" s="128">
        <f>ROUND((H69*B68*10^-8),7)</f>
        <v>0.0010637</v>
      </c>
      <c r="D84" s="128">
        <f>ROUND((I69*B68*10^-8),7)</f>
        <v>0.0011455</v>
      </c>
      <c r="E84" s="128">
        <f>ROUND((J69*B68*10^-8),7)</f>
        <v>0.0013909</v>
      </c>
      <c r="F84" s="134" t="s">
        <v>91</v>
      </c>
      <c r="G84" s="134">
        <f>ROUND(($B66*(0.5+$B70/(2*G69))),2)</f>
        <v>0.97</v>
      </c>
      <c r="H84" s="134">
        <f>ROUND(($B66*(0.5+$B70/(2*H69))),2)</f>
        <v>0.93</v>
      </c>
      <c r="I84" s="134">
        <f>ROUND(($B66*(0.5+$B70/(2*I69))),2)</f>
        <v>0.89</v>
      </c>
      <c r="J84" s="134">
        <f>ROUND(($B66*(0.5+$B70/(2*J69))),2)</f>
        <v>0.8</v>
      </c>
      <c r="K84" s="76"/>
      <c r="L84" s="76"/>
      <c r="M84" s="76"/>
      <c r="N84" s="76"/>
      <c r="O84" s="76"/>
      <c r="P84" s="76"/>
      <c r="Q84" s="76"/>
      <c r="R84" s="76"/>
      <c r="S84" s="76"/>
      <c r="T84" s="76"/>
    </row>
    <row r="85" spans="1:20" ht="14.25" thickBot="1" thickTop="1">
      <c r="A85" s="132"/>
      <c r="B85" s="133"/>
      <c r="C85" s="133"/>
      <c r="D85" s="133"/>
      <c r="E85" s="133"/>
      <c r="F85" s="93" t="s">
        <v>92</v>
      </c>
      <c r="G85" s="135">
        <f>ROUND((100-G81-G83-G84),1)</f>
        <v>93.6</v>
      </c>
      <c r="H85" s="135">
        <f>ROUND((100-H81-H83-H84),1)</f>
        <v>93.2</v>
      </c>
      <c r="I85" s="135">
        <f>ROUND((100-I81-I83-I84),1)</f>
        <v>93.2</v>
      </c>
      <c r="J85" s="135">
        <f>ROUND((100-J81-J83-J84),1)</f>
        <v>92.1</v>
      </c>
      <c r="K85" s="76"/>
      <c r="L85" s="76"/>
      <c r="M85" s="76"/>
      <c r="N85" s="76"/>
      <c r="O85" s="76"/>
      <c r="P85" s="76"/>
      <c r="Q85" s="76"/>
      <c r="R85" s="76"/>
      <c r="S85" s="76"/>
      <c r="T85" s="76"/>
    </row>
    <row r="86" spans="1:20" ht="13.5" thickBot="1">
      <c r="A86" s="84" t="s">
        <v>96</v>
      </c>
      <c r="B86" s="118">
        <f>ROUND((1.23*10^-4*(G79^-0.8048*29.557)*G75+0.9877*(G79^-0.8048*29.557)),2)</f>
        <v>5.04</v>
      </c>
      <c r="C86" s="118">
        <f>ROUND((1.23*10^-4*(H79^-0.8048*29.557)*H75+0.9877*(H79^-0.8048*29.557)),2)</f>
        <v>5.15</v>
      </c>
      <c r="D86" s="118">
        <f>ROUND((1.23*10^-4*(I79^-0.8048*29.557)*I75+0.9877*(I79^-0.8048*29.557)),2)</f>
        <v>4.95</v>
      </c>
      <c r="E86" s="118">
        <f>ROUND((1.23*10^-4*(J79^-0.8048*29.557)*J75+0.9877*(J79^-0.8048*29.557)),2)</f>
        <v>4.8</v>
      </c>
      <c r="F86" s="118" t="s">
        <v>78</v>
      </c>
      <c r="G86" s="118">
        <f>ROUND((100000/(7*G85)),1)</f>
        <v>152.6</v>
      </c>
      <c r="H86" s="118">
        <f>ROUND((100000/(7*H85)),1)</f>
        <v>153.3</v>
      </c>
      <c r="I86" s="118">
        <f>ROUND((100000/(7*I85)),1)</f>
        <v>153.3</v>
      </c>
      <c r="J86" s="118">
        <f>ROUND((100000/(7*J85)),1)</f>
        <v>155.1</v>
      </c>
      <c r="K86" s="76"/>
      <c r="L86" s="76"/>
      <c r="M86" s="76"/>
      <c r="N86" s="76"/>
      <c r="O86" s="76"/>
      <c r="P86" s="76"/>
      <c r="Q86" s="76"/>
      <c r="R86" s="76"/>
      <c r="S86" s="76"/>
      <c r="T86" s="76"/>
    </row>
    <row r="87" spans="1:20" ht="12.75">
      <c r="A87" s="6"/>
      <c r="B87" s="6"/>
      <c r="C87" s="6"/>
      <c r="D87" s="6"/>
      <c r="E87" s="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</row>
    <row r="88" spans="6:20" ht="13.5" thickBot="1">
      <c r="F88" s="76"/>
      <c r="G88" s="76"/>
      <c r="H88" s="103"/>
      <c r="I88" s="103"/>
      <c r="J88" s="103"/>
      <c r="K88" s="76"/>
      <c r="L88" s="76"/>
      <c r="M88" s="76"/>
      <c r="N88" s="76"/>
      <c r="O88" s="76"/>
      <c r="P88" s="76"/>
      <c r="Q88" s="76"/>
      <c r="R88" s="76"/>
      <c r="S88" s="76"/>
      <c r="T88" s="76"/>
    </row>
    <row r="89" spans="6:20" ht="13.5" thickBot="1">
      <c r="F89" s="136" t="s">
        <v>93</v>
      </c>
      <c r="G89" s="140">
        <v>36</v>
      </c>
      <c r="H89" s="140"/>
      <c r="I89" s="140"/>
      <c r="J89" s="118">
        <f>B76</f>
        <v>37</v>
      </c>
      <c r="K89" s="76"/>
      <c r="L89" s="76"/>
      <c r="M89" s="76"/>
      <c r="N89" s="76"/>
      <c r="O89" s="76"/>
      <c r="P89" s="76"/>
      <c r="Q89" s="76"/>
      <c r="R89" s="76"/>
      <c r="S89" s="76"/>
      <c r="T89" s="76"/>
    </row>
    <row r="90" spans="1:20" ht="13.5" thickBot="1">
      <c r="A90" s="20"/>
      <c r="B90" s="20"/>
      <c r="D90" s="20"/>
      <c r="E90" s="20"/>
      <c r="F90" s="136" t="s">
        <v>94</v>
      </c>
      <c r="G90" s="118">
        <f>ROUND((G89*1.05),0)</f>
        <v>38</v>
      </c>
      <c r="H90" s="118">
        <f>ROUND((H89*1.05),0)</f>
        <v>0</v>
      </c>
      <c r="I90" s="118">
        <f>ROUND((I89*1.05),0)</f>
        <v>0</v>
      </c>
      <c r="J90" s="118">
        <f>ROUND((J89*1.05),0)</f>
        <v>39</v>
      </c>
      <c r="K90" s="76"/>
      <c r="L90" s="76"/>
      <c r="M90" s="76"/>
      <c r="N90" s="76"/>
      <c r="O90" s="76"/>
      <c r="P90" s="76"/>
      <c r="Q90" s="76"/>
      <c r="R90" s="76"/>
      <c r="S90" s="76"/>
      <c r="T90" s="76"/>
    </row>
    <row r="91" spans="6:20" ht="13.5" thickBot="1">
      <c r="F91" s="136" t="s">
        <v>95</v>
      </c>
      <c r="G91" s="118">
        <f>ROUND((G89*1.05*2.053*G80),0)</f>
        <v>99</v>
      </c>
      <c r="H91" s="118">
        <f>ROUND((H89*1.05*2.053*H80),0)</f>
        <v>0</v>
      </c>
      <c r="I91" s="118">
        <f>ROUND((I89*1.05*2.053*I80),0)</f>
        <v>0</v>
      </c>
      <c r="J91" s="118">
        <f>ROUND((J89*1.05*2.053*J80),0)</f>
        <v>96</v>
      </c>
      <c r="K91" s="76"/>
      <c r="L91" s="76"/>
      <c r="M91" s="76"/>
      <c r="N91" s="76"/>
      <c r="O91" s="76"/>
      <c r="P91" s="76"/>
      <c r="Q91" s="76"/>
      <c r="R91" s="76"/>
      <c r="S91" s="76"/>
      <c r="T91" s="76"/>
    </row>
    <row r="92" spans="15:20" ht="12.75">
      <c r="O92" s="20"/>
      <c r="P92" s="20"/>
      <c r="Q92" s="20"/>
      <c r="R92" s="20"/>
      <c r="S92" s="20"/>
      <c r="T92" s="20"/>
    </row>
    <row r="93" spans="1:18" ht="12.75">
      <c r="A93" s="275"/>
      <c r="B93" s="275"/>
      <c r="C93" s="275"/>
      <c r="D93" s="275"/>
      <c r="E93" s="275"/>
      <c r="F93" s="275"/>
      <c r="G93" s="275"/>
      <c r="H93" s="275"/>
      <c r="I93" s="275"/>
      <c r="J93" s="275"/>
      <c r="K93" s="275"/>
      <c r="L93" s="275"/>
      <c r="M93" s="275"/>
      <c r="N93" s="275"/>
      <c r="O93" s="275"/>
      <c r="P93" s="275"/>
      <c r="Q93" s="275"/>
      <c r="R93" s="275"/>
    </row>
    <row r="94" spans="1:18" ht="12.75">
      <c r="A94" s="275"/>
      <c r="B94" s="275"/>
      <c r="C94" s="275"/>
      <c r="D94" s="275"/>
      <c r="E94" s="275"/>
      <c r="F94" s="275"/>
      <c r="G94" s="275"/>
      <c r="H94" s="275"/>
      <c r="I94" s="275"/>
      <c r="J94" s="275"/>
      <c r="K94" s="275"/>
      <c r="L94" s="275"/>
      <c r="M94" s="275"/>
      <c r="N94" s="275"/>
      <c r="O94" s="275"/>
      <c r="P94" s="275"/>
      <c r="Q94" s="275"/>
      <c r="R94" s="275"/>
    </row>
    <row r="95" spans="1:18" ht="12.75">
      <c r="A95" s="275"/>
      <c r="B95" s="275"/>
      <c r="C95" s="275"/>
      <c r="D95" s="275"/>
      <c r="E95" s="275"/>
      <c r="F95" s="399"/>
      <c r="G95" s="275"/>
      <c r="H95" s="275"/>
      <c r="I95" s="275"/>
      <c r="J95" s="275"/>
      <c r="K95" s="275"/>
      <c r="L95" s="275"/>
      <c r="M95" s="275"/>
      <c r="N95" s="275"/>
      <c r="O95" s="275"/>
      <c r="P95" s="275"/>
      <c r="Q95" s="275"/>
      <c r="R95" s="275"/>
    </row>
    <row r="96" spans="1:18" ht="12.75">
      <c r="A96" s="275"/>
      <c r="B96" s="275"/>
      <c r="C96" s="275"/>
      <c r="D96" s="275"/>
      <c r="E96" s="275"/>
      <c r="F96" s="275"/>
      <c r="G96" s="275"/>
      <c r="H96" s="275"/>
      <c r="I96" s="275"/>
      <c r="J96" s="275"/>
      <c r="K96" s="275"/>
      <c r="L96" s="275"/>
      <c r="M96" s="275"/>
      <c r="N96" s="275"/>
      <c r="O96" s="275"/>
      <c r="P96" s="275"/>
      <c r="Q96" s="275"/>
      <c r="R96" s="275"/>
    </row>
    <row r="97" spans="1:18" ht="12.75">
      <c r="A97" s="275"/>
      <c r="B97" s="275"/>
      <c r="C97" s="275"/>
      <c r="D97" s="275"/>
      <c r="E97" s="275"/>
      <c r="F97" s="275"/>
      <c r="G97" s="275"/>
      <c r="H97" s="275"/>
      <c r="I97" s="275"/>
      <c r="J97" s="275"/>
      <c r="K97" s="275"/>
      <c r="L97" s="275"/>
      <c r="M97" s="275"/>
      <c r="N97" s="275"/>
      <c r="O97" s="275"/>
      <c r="P97" s="275"/>
      <c r="Q97" s="275"/>
      <c r="R97" s="275"/>
    </row>
    <row r="98" spans="1:18" ht="12.75">
      <c r="A98" s="275"/>
      <c r="B98" s="275"/>
      <c r="C98" s="275"/>
      <c r="D98" s="275"/>
      <c r="E98" s="275"/>
      <c r="F98" s="275"/>
      <c r="G98" s="275"/>
      <c r="H98" s="275"/>
      <c r="I98" s="275"/>
      <c r="J98" s="275"/>
      <c r="K98" s="275"/>
      <c r="L98" s="275"/>
      <c r="M98" s="275"/>
      <c r="N98" s="275"/>
      <c r="O98" s="275"/>
      <c r="P98" s="275"/>
      <c r="Q98" s="275"/>
      <c r="R98" s="275"/>
    </row>
    <row r="99" spans="1:18" ht="12.75">
      <c r="A99" s="275"/>
      <c r="B99" s="275"/>
      <c r="C99" s="275"/>
      <c r="D99" s="275"/>
      <c r="E99" s="275"/>
      <c r="F99" s="275"/>
      <c r="G99" s="275"/>
      <c r="H99" s="275"/>
      <c r="I99" s="275"/>
      <c r="J99" s="275"/>
      <c r="K99" s="275"/>
      <c r="L99" s="275"/>
      <c r="M99" s="275"/>
      <c r="N99" s="275"/>
      <c r="O99" s="275"/>
      <c r="P99" s="275"/>
      <c r="Q99" s="275"/>
      <c r="R99" s="275"/>
    </row>
    <row r="100" spans="1:18" ht="12.75">
      <c r="A100" s="275"/>
      <c r="B100" s="275"/>
      <c r="C100" s="275"/>
      <c r="D100" s="275"/>
      <c r="E100" s="275"/>
      <c r="F100" s="275"/>
      <c r="G100" s="275"/>
      <c r="H100" s="275"/>
      <c r="I100" s="275"/>
      <c r="J100" s="275"/>
      <c r="K100" s="275"/>
      <c r="L100" s="275"/>
      <c r="M100" s="275"/>
      <c r="N100" s="275"/>
      <c r="O100" s="275"/>
      <c r="P100" s="275"/>
      <c r="Q100" s="275"/>
      <c r="R100" s="275"/>
    </row>
    <row r="101" spans="1:18" ht="12.75">
      <c r="A101" s="275"/>
      <c r="B101" s="275"/>
      <c r="C101" s="275"/>
      <c r="D101" s="275"/>
      <c r="E101" s="275"/>
      <c r="F101" s="275"/>
      <c r="G101" s="275"/>
      <c r="H101" s="275"/>
      <c r="I101" s="275"/>
      <c r="J101" s="275"/>
      <c r="K101" s="275"/>
      <c r="L101" s="275"/>
      <c r="M101" s="275"/>
      <c r="N101" s="275"/>
      <c r="O101" s="275"/>
      <c r="P101" s="275"/>
      <c r="Q101" s="275"/>
      <c r="R101" s="275"/>
    </row>
    <row r="102" spans="1:18" ht="12.75">
      <c r="A102" s="275"/>
      <c r="B102" s="275"/>
      <c r="C102" s="275"/>
      <c r="D102" s="275"/>
      <c r="E102" s="275"/>
      <c r="F102" s="275"/>
      <c r="G102" s="275"/>
      <c r="H102" s="275"/>
      <c r="I102" s="275"/>
      <c r="J102" s="275"/>
      <c r="K102" s="275"/>
      <c r="L102" s="275"/>
      <c r="M102" s="275"/>
      <c r="N102" s="275"/>
      <c r="O102" s="275"/>
      <c r="P102" s="275"/>
      <c r="Q102" s="275"/>
      <c r="R102" s="275"/>
    </row>
    <row r="103" spans="1:18" ht="12.75">
      <c r="A103" s="275"/>
      <c r="B103" s="275"/>
      <c r="C103" s="275"/>
      <c r="D103" s="275"/>
      <c r="E103" s="275"/>
      <c r="F103" s="275"/>
      <c r="G103" s="275"/>
      <c r="H103" s="275"/>
      <c r="I103" s="275"/>
      <c r="J103" s="275"/>
      <c r="K103" s="275"/>
      <c r="L103" s="275"/>
      <c r="M103" s="275"/>
      <c r="N103" s="275"/>
      <c r="O103" s="275"/>
      <c r="P103" s="275"/>
      <c r="Q103" s="275"/>
      <c r="R103" s="275"/>
    </row>
    <row r="104" spans="1:18" ht="12.75">
      <c r="A104" s="275"/>
      <c r="B104" s="275"/>
      <c r="C104" s="275"/>
      <c r="D104" s="275"/>
      <c r="E104" s="275"/>
      <c r="F104" s="275"/>
      <c r="G104" s="275"/>
      <c r="H104" s="275"/>
      <c r="I104" s="275"/>
      <c r="J104" s="275"/>
      <c r="K104" s="275"/>
      <c r="L104" s="275"/>
      <c r="M104" s="275"/>
      <c r="N104" s="275"/>
      <c r="O104" s="275"/>
      <c r="P104" s="275"/>
      <c r="Q104" s="275"/>
      <c r="R104" s="275"/>
    </row>
    <row r="105" spans="1:18" ht="12.75">
      <c r="A105" s="275"/>
      <c r="B105" s="275"/>
      <c r="C105" s="275"/>
      <c r="D105" s="275"/>
      <c r="E105" s="275"/>
      <c r="F105" s="275"/>
      <c r="G105" s="275"/>
      <c r="H105" s="275"/>
      <c r="I105" s="275"/>
      <c r="J105" s="275"/>
      <c r="K105" s="275"/>
      <c r="L105" s="275"/>
      <c r="M105" s="275"/>
      <c r="N105" s="275"/>
      <c r="O105" s="275"/>
      <c r="P105" s="275"/>
      <c r="Q105" s="275"/>
      <c r="R105" s="275"/>
    </row>
    <row r="106" spans="1:18" ht="12.75">
      <c r="A106" s="275"/>
      <c r="B106" s="275"/>
      <c r="C106" s="275"/>
      <c r="D106" s="275"/>
      <c r="E106" s="275"/>
      <c r="F106" s="275"/>
      <c r="G106" s="275"/>
      <c r="H106" s="275"/>
      <c r="I106" s="275"/>
      <c r="J106" s="275"/>
      <c r="K106" s="275"/>
      <c r="L106" s="275"/>
      <c r="M106" s="275"/>
      <c r="N106" s="275"/>
      <c r="O106" s="275"/>
      <c r="P106" s="275"/>
      <c r="Q106" s="275"/>
      <c r="R106" s="275"/>
    </row>
    <row r="107" spans="1:18" ht="12.75">
      <c r="A107" s="275"/>
      <c r="B107" s="275"/>
      <c r="C107" s="275"/>
      <c r="D107" s="275"/>
      <c r="E107" s="275"/>
      <c r="F107" s="275"/>
      <c r="G107" s="275"/>
      <c r="H107" s="275"/>
      <c r="I107" s="275"/>
      <c r="J107" s="275"/>
      <c r="K107" s="275"/>
      <c r="L107" s="275"/>
      <c r="M107" s="275"/>
      <c r="N107" s="275"/>
      <c r="O107" s="275"/>
      <c r="P107" s="275"/>
      <c r="Q107" s="275"/>
      <c r="R107" s="275"/>
    </row>
    <row r="108" spans="1:18" ht="12.75">
      <c r="A108" s="275"/>
      <c r="B108" s="275"/>
      <c r="C108" s="275"/>
      <c r="D108" s="275"/>
      <c r="E108" s="275"/>
      <c r="F108" s="275"/>
      <c r="G108" s="275"/>
      <c r="H108" s="275"/>
      <c r="I108" s="275"/>
      <c r="J108" s="275"/>
      <c r="K108" s="275"/>
      <c r="L108" s="275"/>
      <c r="M108" s="275"/>
      <c r="N108" s="275"/>
      <c r="O108" s="275"/>
      <c r="P108" s="275"/>
      <c r="Q108" s="275"/>
      <c r="R108" s="275"/>
    </row>
    <row r="109" spans="1:18" ht="12.75">
      <c r="A109" s="275"/>
      <c r="B109" s="275"/>
      <c r="C109" s="275"/>
      <c r="D109" s="275"/>
      <c r="E109" s="275"/>
      <c r="F109" s="275"/>
      <c r="G109" s="275"/>
      <c r="H109" s="275"/>
      <c r="I109" s="275"/>
      <c r="J109" s="275"/>
      <c r="K109" s="275"/>
      <c r="L109" s="275"/>
      <c r="M109" s="275"/>
      <c r="N109" s="275"/>
      <c r="O109" s="275"/>
      <c r="P109" s="275"/>
      <c r="Q109" s="275"/>
      <c r="R109" s="275"/>
    </row>
    <row r="110" spans="1:18" ht="12.75">
      <c r="A110" s="275"/>
      <c r="B110" s="275"/>
      <c r="C110" s="275"/>
      <c r="D110" s="275"/>
      <c r="E110" s="275"/>
      <c r="F110" s="275"/>
      <c r="G110" s="275"/>
      <c r="H110" s="275"/>
      <c r="I110" s="275"/>
      <c r="J110" s="275"/>
      <c r="K110" s="275"/>
      <c r="L110" s="275"/>
      <c r="M110" s="275"/>
      <c r="N110" s="275"/>
      <c r="O110" s="275"/>
      <c r="P110" s="275"/>
      <c r="Q110" s="275"/>
      <c r="R110" s="275"/>
    </row>
    <row r="111" spans="1:18" ht="12.75">
      <c r="A111" s="275"/>
      <c r="B111" s="275"/>
      <c r="C111" s="275"/>
      <c r="D111" s="275"/>
      <c r="E111" s="275"/>
      <c r="F111" s="275"/>
      <c r="G111" s="275"/>
      <c r="H111" s="275"/>
      <c r="I111" s="275"/>
      <c r="J111" s="275"/>
      <c r="K111" s="275"/>
      <c r="L111" s="275"/>
      <c r="M111" s="275"/>
      <c r="N111" s="275"/>
      <c r="O111" s="275"/>
      <c r="P111" s="275"/>
      <c r="Q111" s="275"/>
      <c r="R111" s="275"/>
    </row>
    <row r="112" spans="1:18" ht="12.75">
      <c r="A112" s="275"/>
      <c r="B112" s="275"/>
      <c r="C112" s="275"/>
      <c r="D112" s="275"/>
      <c r="E112" s="275"/>
      <c r="F112" s="275"/>
      <c r="G112" s="275"/>
      <c r="H112" s="275"/>
      <c r="I112" s="275"/>
      <c r="J112" s="275"/>
      <c r="K112" s="275"/>
      <c r="L112" s="275"/>
      <c r="M112" s="275"/>
      <c r="N112" s="275"/>
      <c r="O112" s="275"/>
      <c r="P112" s="275"/>
      <c r="Q112" s="275"/>
      <c r="R112" s="275"/>
    </row>
    <row r="113" spans="1:18" ht="12.75">
      <c r="A113" s="275"/>
      <c r="B113" s="275"/>
      <c r="C113" s="275"/>
      <c r="D113" s="275"/>
      <c r="E113" s="275"/>
      <c r="F113" s="275"/>
      <c r="G113" s="275"/>
      <c r="H113" s="275"/>
      <c r="I113" s="275"/>
      <c r="J113" s="275"/>
      <c r="K113" s="275"/>
      <c r="L113" s="275"/>
      <c r="M113" s="275"/>
      <c r="N113" s="275"/>
      <c r="O113" s="275"/>
      <c r="P113" s="275"/>
      <c r="Q113" s="275"/>
      <c r="R113" s="275"/>
    </row>
    <row r="114" spans="1:18" ht="12.75">
      <c r="A114" s="275"/>
      <c r="B114" s="275"/>
      <c r="C114" s="275"/>
      <c r="D114" s="275"/>
      <c r="E114" s="275"/>
      <c r="F114" s="275"/>
      <c r="G114" s="275"/>
      <c r="H114" s="275"/>
      <c r="I114" s="275"/>
      <c r="J114" s="275"/>
      <c r="K114" s="275"/>
      <c r="L114" s="275"/>
      <c r="M114" s="275"/>
      <c r="N114" s="275"/>
      <c r="O114" s="275"/>
      <c r="P114" s="275"/>
      <c r="Q114" s="275"/>
      <c r="R114" s="275"/>
    </row>
    <row r="115" spans="1:18" ht="12.75">
      <c r="A115" s="275"/>
      <c r="B115" s="275"/>
      <c r="C115" s="275"/>
      <c r="D115" s="275"/>
      <c r="E115" s="275"/>
      <c r="F115" s="275"/>
      <c r="G115" s="275"/>
      <c r="H115" s="275"/>
      <c r="I115" s="275"/>
      <c r="J115" s="275"/>
      <c r="K115" s="275"/>
      <c r="L115" s="275"/>
      <c r="M115" s="275"/>
      <c r="N115" s="275"/>
      <c r="O115" s="275"/>
      <c r="P115" s="275"/>
      <c r="Q115" s="275"/>
      <c r="R115" s="275"/>
    </row>
    <row r="116" spans="1:18" ht="12.75">
      <c r="A116" s="275"/>
      <c r="B116" s="275"/>
      <c r="C116" s="275"/>
      <c r="D116" s="275"/>
      <c r="E116" s="275"/>
      <c r="F116" s="275"/>
      <c r="G116" s="275"/>
      <c r="H116" s="275"/>
      <c r="I116" s="275"/>
      <c r="J116" s="275"/>
      <c r="K116" s="275"/>
      <c r="L116" s="275"/>
      <c r="M116" s="275"/>
      <c r="N116" s="275"/>
      <c r="O116" s="275"/>
      <c r="P116" s="275"/>
      <c r="Q116" s="275"/>
      <c r="R116" s="275"/>
    </row>
    <row r="117" spans="1:18" ht="12.75">
      <c r="A117" s="275"/>
      <c r="B117" s="275"/>
      <c r="C117" s="275"/>
      <c r="D117" s="275"/>
      <c r="E117" s="275"/>
      <c r="F117" s="275"/>
      <c r="G117" s="275"/>
      <c r="H117" s="275"/>
      <c r="I117" s="275"/>
      <c r="J117" s="275"/>
      <c r="K117" s="275"/>
      <c r="L117" s="275"/>
      <c r="M117" s="275"/>
      <c r="N117" s="275"/>
      <c r="O117" s="275"/>
      <c r="P117" s="275"/>
      <c r="Q117" s="275"/>
      <c r="R117" s="275"/>
    </row>
    <row r="118" spans="1:11" ht="12.75">
      <c r="A118" s="275"/>
      <c r="B118" s="275"/>
      <c r="C118" s="275"/>
      <c r="D118" s="275"/>
      <c r="E118" s="275"/>
      <c r="F118" s="275"/>
      <c r="G118" s="275"/>
      <c r="H118" s="275"/>
      <c r="I118" s="275"/>
      <c r="J118" s="275"/>
      <c r="K118" s="275"/>
    </row>
    <row r="119" spans="1:11" ht="12.75">
      <c r="A119" s="275"/>
      <c r="B119" s="275"/>
      <c r="C119" s="275"/>
      <c r="D119" s="275"/>
      <c r="E119" s="275"/>
      <c r="H119" s="275"/>
      <c r="I119" s="275"/>
      <c r="J119" s="275"/>
      <c r="K119" s="275"/>
    </row>
    <row r="120" spans="1:11" ht="12.75">
      <c r="A120" s="275"/>
      <c r="B120" s="275"/>
      <c r="C120" s="275"/>
      <c r="D120" s="275"/>
      <c r="E120" s="275"/>
      <c r="H120" s="275"/>
      <c r="I120" s="275"/>
      <c r="J120" s="275"/>
      <c r="K120" s="275"/>
    </row>
    <row r="121" spans="1:11" ht="12.75">
      <c r="A121" s="275"/>
      <c r="B121" s="275"/>
      <c r="C121" s="275"/>
      <c r="D121" s="275"/>
      <c r="E121" s="275"/>
      <c r="H121" s="275"/>
      <c r="I121" s="275"/>
      <c r="J121" s="275"/>
      <c r="K121" s="275"/>
    </row>
    <row r="122" spans="1:11" ht="12.75">
      <c r="A122" s="275"/>
      <c r="B122" s="275"/>
      <c r="C122" s="275"/>
      <c r="D122" s="275"/>
      <c r="E122" s="275"/>
      <c r="H122" s="275"/>
      <c r="I122" s="275"/>
      <c r="J122" s="275"/>
      <c r="K122" s="275"/>
    </row>
    <row r="123" spans="1:11" ht="12.75">
      <c r="A123" s="275"/>
      <c r="B123" s="275"/>
      <c r="C123" s="275"/>
      <c r="D123" s="275"/>
      <c r="E123" s="275"/>
      <c r="F123" s="275"/>
      <c r="G123" s="275"/>
      <c r="H123" s="275"/>
      <c r="I123" s="275"/>
      <c r="J123" s="275"/>
      <c r="K123" s="275"/>
    </row>
    <row r="124" spans="1:11" ht="12.75">
      <c r="A124" s="275"/>
      <c r="B124" s="275"/>
      <c r="C124" s="275"/>
      <c r="D124" s="275"/>
      <c r="E124" s="275"/>
      <c r="F124" s="275"/>
      <c r="G124" s="275"/>
      <c r="H124" s="275"/>
      <c r="I124" s="275"/>
      <c r="J124" s="275"/>
      <c r="K124" s="275"/>
    </row>
    <row r="125" spans="1:11" ht="12.75">
      <c r="A125" s="275"/>
      <c r="B125" s="275"/>
      <c r="C125" s="275"/>
      <c r="D125" s="275"/>
      <c r="E125" s="275"/>
      <c r="F125" s="275"/>
      <c r="G125" s="275"/>
      <c r="H125" s="275"/>
      <c r="I125" s="275"/>
      <c r="J125" s="275"/>
      <c r="K125" s="275"/>
    </row>
    <row r="126" spans="1:11" ht="12.75">
      <c r="A126" s="275"/>
      <c r="B126" s="275"/>
      <c r="C126" s="275"/>
      <c r="D126" s="275"/>
      <c r="E126" s="275"/>
      <c r="F126" s="275"/>
      <c r="G126" s="275"/>
      <c r="H126" s="275"/>
      <c r="I126" s="275"/>
      <c r="J126" s="275"/>
      <c r="K126" s="275"/>
    </row>
    <row r="127" spans="1:11" ht="12.75">
      <c r="A127" s="275"/>
      <c r="B127" s="275"/>
      <c r="C127" s="275"/>
      <c r="D127" s="275"/>
      <c r="E127" s="275"/>
      <c r="F127" s="275"/>
      <c r="G127" s="275"/>
      <c r="H127" s="275"/>
      <c r="I127" s="275"/>
      <c r="J127" s="275"/>
      <c r="K127" s="275"/>
    </row>
    <row r="128" spans="8:11" ht="12.75">
      <c r="H128" s="275"/>
      <c r="I128" s="275"/>
      <c r="J128" s="275"/>
      <c r="K128" s="275"/>
    </row>
    <row r="129" spans="8:11" ht="12.75">
      <c r="H129" s="275"/>
      <c r="I129" s="275"/>
      <c r="J129" s="275"/>
      <c r="K129" s="275"/>
    </row>
  </sheetData>
  <mergeCells count="17">
    <mergeCell ref="C71:E72"/>
    <mergeCell ref="AO57:AP57"/>
    <mergeCell ref="AR57:AU57"/>
    <mergeCell ref="AY59:AZ59"/>
    <mergeCell ref="AL59:AN60"/>
    <mergeCell ref="D65:D66"/>
    <mergeCell ref="E65:E66"/>
    <mergeCell ref="C68:D68"/>
    <mergeCell ref="BB59:BD59"/>
    <mergeCell ref="AY31:AZ31"/>
    <mergeCell ref="BB31:BD31"/>
    <mergeCell ref="AY45:AZ45"/>
    <mergeCell ref="BB45:BD45"/>
    <mergeCell ref="AY17:AZ17"/>
    <mergeCell ref="BB17:BD17"/>
    <mergeCell ref="AO29:AP29"/>
    <mergeCell ref="AR29:AU29"/>
  </mergeCells>
  <printOptions horizontalCentered="1"/>
  <pageMargins left="0.984251968503937" right="0.3937007874015748" top="0.1968503937007874" bottom="0.1968503937007874" header="0" footer="0"/>
  <pageSetup horizontalDpi="300" verticalDpi="300" orientation="portrait" pageOrder="overThenDown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154"/>
  <sheetViews>
    <sheetView zoomScale="75" zoomScaleNormal="75" workbookViewId="0" topLeftCell="A62">
      <selection activeCell="O86" sqref="O86"/>
    </sheetView>
  </sheetViews>
  <sheetFormatPr defaultColWidth="8.75390625" defaultRowHeight="12.75"/>
  <cols>
    <col min="4" max="5" width="9.125" style="0" customWidth="1"/>
    <col min="7" max="7" width="9.00390625" style="0" bestFit="1" customWidth="1"/>
    <col min="14" max="14" width="10.00390625" style="0" bestFit="1" customWidth="1"/>
    <col min="73" max="73" width="9.125" style="0" customWidth="1"/>
  </cols>
  <sheetData>
    <row r="1" spans="2:60" ht="19.5" customHeight="1">
      <c r="B1" s="61"/>
      <c r="C1" s="61"/>
      <c r="F1" s="61"/>
      <c r="G1" s="61"/>
      <c r="H1" s="61"/>
      <c r="I1" s="63" t="s">
        <v>192</v>
      </c>
      <c r="J1" s="62">
        <f>E65</f>
        <v>2</v>
      </c>
      <c r="K1" s="63"/>
      <c r="N1" s="63"/>
      <c r="O1" s="63"/>
      <c r="P1" s="63"/>
      <c r="Q1" s="63"/>
      <c r="R1" s="63"/>
      <c r="S1" s="63" t="s">
        <v>191</v>
      </c>
      <c r="T1" s="62">
        <f>E65</f>
        <v>2</v>
      </c>
      <c r="U1" s="64"/>
      <c r="Y1" s="63"/>
      <c r="Z1" s="63"/>
      <c r="AA1" s="63"/>
      <c r="AB1" s="63"/>
      <c r="AC1" s="63" t="s">
        <v>191</v>
      </c>
      <c r="AD1" s="62">
        <f>E65</f>
        <v>2</v>
      </c>
      <c r="AH1" s="23"/>
      <c r="AI1" s="23"/>
      <c r="AJ1" s="23"/>
      <c r="AK1" s="23"/>
      <c r="AL1" s="23"/>
      <c r="AM1" s="63" t="s">
        <v>64</v>
      </c>
      <c r="AN1" s="62">
        <f>E65</f>
        <v>2</v>
      </c>
      <c r="AQ1" s="61"/>
      <c r="AR1" s="61"/>
      <c r="AS1" s="61"/>
      <c r="AT1" s="61"/>
      <c r="AU1" s="61"/>
      <c r="AV1" s="61"/>
      <c r="AW1" s="63" t="s">
        <v>193</v>
      </c>
      <c r="AX1" s="62">
        <f>E65</f>
        <v>2</v>
      </c>
      <c r="BA1" s="61"/>
      <c r="BB1" s="61"/>
      <c r="BC1" s="61"/>
      <c r="BD1" s="61"/>
      <c r="BE1" s="61"/>
      <c r="BF1" s="61"/>
      <c r="BG1" s="63" t="s">
        <v>193</v>
      </c>
      <c r="BH1" s="62">
        <f>E65</f>
        <v>2</v>
      </c>
    </row>
    <row r="2" spans="3:28" ht="15" customHeight="1">
      <c r="C2" s="61"/>
      <c r="D2" s="61"/>
      <c r="E2" s="61"/>
      <c r="F2" s="61"/>
      <c r="G2" s="61"/>
      <c r="H2" s="61"/>
      <c r="N2" s="62" t="s">
        <v>55</v>
      </c>
      <c r="O2" s="63"/>
      <c r="P2" s="63"/>
      <c r="Q2" s="63"/>
      <c r="R2" s="63"/>
      <c r="X2" s="62" t="s">
        <v>55</v>
      </c>
      <c r="Y2" s="63"/>
      <c r="Z2" s="63"/>
      <c r="AA2" s="63"/>
      <c r="AB2" s="63"/>
    </row>
    <row r="3" spans="1:59" ht="17.25" customHeight="1">
      <c r="A3" s="65" t="s">
        <v>61</v>
      </c>
      <c r="B3" s="66"/>
      <c r="C3" s="66"/>
      <c r="D3" s="66"/>
      <c r="E3" s="66"/>
      <c r="F3" s="66"/>
      <c r="G3" s="66"/>
      <c r="H3" s="66"/>
      <c r="I3" s="66"/>
      <c r="K3" s="67" t="s">
        <v>222</v>
      </c>
      <c r="L3" s="65"/>
      <c r="M3" s="65"/>
      <c r="N3" s="65"/>
      <c r="O3" s="65"/>
      <c r="P3" s="65"/>
      <c r="Q3" s="65"/>
      <c r="R3" s="65"/>
      <c r="S3" s="65"/>
      <c r="U3" s="65" t="s">
        <v>106</v>
      </c>
      <c r="W3" s="66"/>
      <c r="X3" s="66"/>
      <c r="Y3" s="66"/>
      <c r="Z3" s="66"/>
      <c r="AA3" s="66"/>
      <c r="AB3" s="66"/>
      <c r="AC3" s="66"/>
      <c r="AQ3" s="263"/>
      <c r="AR3" s="263" t="s">
        <v>194</v>
      </c>
      <c r="AS3" s="263"/>
      <c r="AT3" s="263"/>
      <c r="AU3" s="263"/>
      <c r="AV3" s="263"/>
      <c r="AW3" s="263"/>
      <c r="AX3" s="264"/>
      <c r="AY3" s="264"/>
      <c r="BA3" s="263" t="s">
        <v>194</v>
      </c>
      <c r="BB3" s="263"/>
      <c r="BC3" s="263"/>
      <c r="BD3" s="263"/>
      <c r="BE3" s="263"/>
      <c r="BF3" s="263"/>
      <c r="BG3" s="263"/>
    </row>
    <row r="4" spans="31:32" ht="12.75" customHeight="1">
      <c r="AE4" s="68" t="s">
        <v>107</v>
      </c>
      <c r="AF4" s="68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spans="51:52" ht="12.75" customHeight="1">
      <c r="AY15" s="47"/>
      <c r="AZ15" s="6"/>
    </row>
    <row r="16" spans="51:52" ht="12.75" customHeight="1">
      <c r="AY16" s="47"/>
      <c r="AZ16" s="6"/>
    </row>
    <row r="17" spans="51:57" ht="12.75" customHeight="1">
      <c r="AY17" s="437" t="s">
        <v>58</v>
      </c>
      <c r="AZ17" s="438"/>
      <c r="BA17" s="69">
        <f>J67</f>
        <v>98</v>
      </c>
      <c r="BB17" s="438" t="s">
        <v>105</v>
      </c>
      <c r="BC17" s="438"/>
      <c r="BD17" s="439"/>
      <c r="BE17" s="70">
        <f>J70</f>
        <v>110</v>
      </c>
    </row>
    <row r="18" ht="12.75" customHeight="1"/>
    <row r="19" ht="12.75" customHeight="1"/>
    <row r="20" ht="12.75" customHeight="1"/>
    <row r="21" ht="12.75" customHeight="1"/>
    <row r="22" spans="1:28" ht="14.25" customHeight="1">
      <c r="A22" s="65" t="s">
        <v>56</v>
      </c>
      <c r="C22" s="66"/>
      <c r="D22" s="66"/>
      <c r="E22" s="66"/>
      <c r="F22" s="66"/>
      <c r="G22" s="66"/>
      <c r="H22" s="66"/>
      <c r="I22" s="66"/>
      <c r="K22" s="65" t="s">
        <v>223</v>
      </c>
      <c r="M22" s="71"/>
      <c r="N22" s="71"/>
      <c r="O22" s="71"/>
      <c r="P22" s="71"/>
      <c r="Q22" s="71"/>
      <c r="R22" s="71"/>
      <c r="S22" s="71"/>
      <c r="U22" s="65" t="s">
        <v>57</v>
      </c>
      <c r="V22" s="65"/>
      <c r="W22" s="65"/>
      <c r="X22" s="65"/>
      <c r="Y22" s="65"/>
      <c r="Z22" s="65"/>
      <c r="AA22" s="65"/>
      <c r="AB22" s="65"/>
    </row>
    <row r="23" ht="12.75" customHeight="1"/>
    <row r="24" ht="12.75" customHeight="1"/>
    <row r="25" ht="12.75" customHeight="1"/>
    <row r="26" ht="12.75" customHeight="1"/>
    <row r="27" ht="12.75" customHeight="1"/>
    <row r="28" spans="51:52" ht="12.75" customHeight="1">
      <c r="AY28" s="47"/>
      <c r="AZ28" s="6"/>
    </row>
    <row r="29" spans="41:52" ht="12.75" customHeight="1">
      <c r="AO29" s="440" t="s">
        <v>58</v>
      </c>
      <c r="AP29" s="440"/>
      <c r="AQ29" s="71">
        <f>J67</f>
        <v>98</v>
      </c>
      <c r="AR29" s="441" t="s">
        <v>62</v>
      </c>
      <c r="AS29" s="441"/>
      <c r="AT29" s="404"/>
      <c r="AU29" s="404"/>
      <c r="AV29" s="71">
        <f>J70</f>
        <v>110</v>
      </c>
      <c r="AY29" s="47"/>
      <c r="AZ29" s="6"/>
    </row>
    <row r="30" spans="51:52" ht="12.75" customHeight="1">
      <c r="AY30" s="47"/>
      <c r="AZ30" s="6"/>
    </row>
    <row r="31" spans="51:57" ht="12.75" customHeight="1">
      <c r="AY31" s="437" t="s">
        <v>58</v>
      </c>
      <c r="AZ31" s="438"/>
      <c r="BA31" s="69">
        <f>I67</f>
        <v>89</v>
      </c>
      <c r="BB31" s="438" t="s">
        <v>105</v>
      </c>
      <c r="BC31" s="438"/>
      <c r="BD31" s="439"/>
      <c r="BE31" s="70">
        <f>I70</f>
        <v>0</v>
      </c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spans="1:28" ht="14.25" customHeight="1">
      <c r="A41" s="73" t="s">
        <v>108</v>
      </c>
      <c r="C41" s="71"/>
      <c r="D41" s="71"/>
      <c r="E41" s="71"/>
      <c r="F41" s="71"/>
      <c r="G41" s="71"/>
      <c r="H41" s="71"/>
      <c r="I41" s="71"/>
      <c r="K41" s="65" t="s">
        <v>109</v>
      </c>
      <c r="M41" s="71"/>
      <c r="N41" s="71"/>
      <c r="O41" s="71"/>
      <c r="P41" s="71"/>
      <c r="Q41" s="71"/>
      <c r="R41" s="71"/>
      <c r="S41" s="71"/>
      <c r="U41" s="73" t="s">
        <v>104</v>
      </c>
      <c r="V41" s="65"/>
      <c r="W41" s="65"/>
      <c r="X41" s="65"/>
      <c r="Y41" s="65"/>
      <c r="Z41" s="65"/>
      <c r="AA41" s="65"/>
      <c r="AB41" s="65"/>
    </row>
    <row r="42" ht="12.75" customHeight="1"/>
    <row r="43" spans="51:52" ht="12.75" customHeight="1">
      <c r="AY43" s="47"/>
      <c r="AZ43" s="6"/>
    </row>
    <row r="44" spans="51:52" ht="12.75" customHeight="1">
      <c r="AY44" s="47"/>
      <c r="AZ44" s="6"/>
    </row>
    <row r="45" spans="51:57" ht="12.75" customHeight="1">
      <c r="AY45" s="437" t="s">
        <v>58</v>
      </c>
      <c r="AZ45" s="438"/>
      <c r="BA45" s="69">
        <f>H67</f>
        <v>83</v>
      </c>
      <c r="BB45" s="438" t="s">
        <v>105</v>
      </c>
      <c r="BC45" s="438"/>
      <c r="BD45" s="439"/>
      <c r="BE45" s="70">
        <f>H70</f>
        <v>0</v>
      </c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spans="41:52" ht="12.75" customHeight="1">
      <c r="AO57" s="448" t="s">
        <v>58</v>
      </c>
      <c r="AP57" s="448"/>
      <c r="AQ57" s="71">
        <f>G67</f>
        <v>78</v>
      </c>
      <c r="AR57" s="441" t="s">
        <v>62</v>
      </c>
      <c r="AS57" s="441"/>
      <c r="AT57" s="404"/>
      <c r="AU57" s="404"/>
      <c r="AV57" s="71">
        <f>G70</f>
        <v>120</v>
      </c>
      <c r="AY57" s="47"/>
      <c r="AZ57" s="6"/>
    </row>
    <row r="58" spans="51:52" ht="12.75" customHeight="1">
      <c r="AY58" s="47"/>
      <c r="AZ58" s="6"/>
    </row>
    <row r="59" spans="38:57" ht="12.75" customHeight="1">
      <c r="AL59" s="449" t="s">
        <v>63</v>
      </c>
      <c r="AM59" s="450"/>
      <c r="AN59" s="450"/>
      <c r="AY59" s="437" t="s">
        <v>58</v>
      </c>
      <c r="AZ59" s="438"/>
      <c r="BA59" s="69">
        <f>G67</f>
        <v>78</v>
      </c>
      <c r="BB59" s="438" t="s">
        <v>105</v>
      </c>
      <c r="BC59" s="438"/>
      <c r="BD59" s="439"/>
      <c r="BE59" s="70">
        <f>G70</f>
        <v>120</v>
      </c>
    </row>
    <row r="60" spans="38:40" ht="12.75" customHeight="1">
      <c r="AL60" s="450"/>
      <c r="AM60" s="450"/>
      <c r="AN60" s="450"/>
    </row>
    <row r="61" spans="31:39" ht="12.75" customHeight="1">
      <c r="AE61" s="72"/>
      <c r="AF61" s="72"/>
      <c r="AG61" s="37"/>
      <c r="AH61" s="72"/>
      <c r="AI61" s="72"/>
      <c r="AJ61" s="4"/>
      <c r="AL61" s="66"/>
      <c r="AM61" s="66"/>
    </row>
    <row r="62" ht="12.75" customHeight="1"/>
    <row r="64" ht="12.75" customHeight="1" thickBot="1"/>
    <row r="65" spans="1:50" ht="12.75" customHeight="1" thickBot="1" thickTop="1">
      <c r="A65" s="74" t="s">
        <v>79</v>
      </c>
      <c r="B65" s="75">
        <f>0.15*0.86</f>
        <v>0.129</v>
      </c>
      <c r="C65" s="76"/>
      <c r="D65" s="451" t="s">
        <v>75</v>
      </c>
      <c r="E65" s="453">
        <v>2</v>
      </c>
      <c r="F65" s="76"/>
      <c r="G65" s="76"/>
      <c r="H65" s="77"/>
      <c r="I65" s="77"/>
      <c r="J65" s="77"/>
      <c r="K65" s="78"/>
      <c r="L65" s="76"/>
      <c r="M65" s="76"/>
      <c r="N65" s="76"/>
      <c r="O65" s="76"/>
      <c r="P65" s="76"/>
      <c r="Q65" s="76"/>
      <c r="R65" s="76"/>
      <c r="S65" s="76"/>
      <c r="T65" s="76"/>
      <c r="AU65" s="79">
        <f>G79</f>
        <v>9.03</v>
      </c>
      <c r="AV65" s="80">
        <f>G79</f>
        <v>9.03</v>
      </c>
      <c r="AW65" s="81">
        <v>11.8</v>
      </c>
      <c r="AX65" s="82">
        <v>0</v>
      </c>
    </row>
    <row r="66" spans="1:50" ht="13.5" thickBot="1">
      <c r="A66" s="74" t="s">
        <v>80</v>
      </c>
      <c r="B66" s="75">
        <v>0.8</v>
      </c>
      <c r="C66" s="284">
        <f>7314*10^(-6)*100/B65</f>
        <v>5.669767441860465</v>
      </c>
      <c r="D66" s="452"/>
      <c r="E66" s="452"/>
      <c r="F66" s="83"/>
      <c r="G66" s="84" t="s">
        <v>59</v>
      </c>
      <c r="H66" s="84" t="s">
        <v>60</v>
      </c>
      <c r="I66" s="84" t="s">
        <v>69</v>
      </c>
      <c r="J66" s="84" t="s">
        <v>68</v>
      </c>
      <c r="K66" s="78"/>
      <c r="L66" s="76"/>
      <c r="M66" s="76"/>
      <c r="N66" s="76"/>
      <c r="O66" s="76"/>
      <c r="P66" s="76"/>
      <c r="Q66" s="76"/>
      <c r="R66" s="76"/>
      <c r="S66" s="76"/>
      <c r="T66" s="76"/>
      <c r="AU66" s="85">
        <f>G78</f>
        <v>4.9</v>
      </c>
      <c r="AV66" s="86">
        <v>0</v>
      </c>
      <c r="AW66" s="87">
        <v>0</v>
      </c>
      <c r="AX66" s="88">
        <v>21</v>
      </c>
    </row>
    <row r="67" spans="1:50" ht="13.5" thickBot="1">
      <c r="A67" s="74" t="s">
        <v>333</v>
      </c>
      <c r="B67" s="75">
        <v>92</v>
      </c>
      <c r="C67" s="76"/>
      <c r="D67" s="76"/>
      <c r="E67" s="76"/>
      <c r="F67" s="89" t="s">
        <v>70</v>
      </c>
      <c r="G67" s="90">
        <f>ROUND((G68/B65*100),0)</f>
        <v>78</v>
      </c>
      <c r="H67" s="90">
        <f>ROUND((H68/B65*100),0)</f>
        <v>83</v>
      </c>
      <c r="I67" s="90">
        <f>ROUND((I68/B65*100),0)</f>
        <v>89</v>
      </c>
      <c r="J67" s="90">
        <f>ROUND((J68/B65*100),0)</f>
        <v>98</v>
      </c>
      <c r="K67" s="78"/>
      <c r="L67" s="76"/>
      <c r="M67" s="76"/>
      <c r="N67" s="76"/>
      <c r="O67" s="91"/>
      <c r="P67" s="91"/>
      <c r="Q67" s="91"/>
      <c r="R67" s="76"/>
      <c r="S67" s="76"/>
      <c r="T67" s="76"/>
      <c r="AU67" s="85">
        <f>G78*0.999</f>
        <v>4.8951</v>
      </c>
      <c r="AV67" s="86">
        <f>G78</f>
        <v>4.9</v>
      </c>
      <c r="AW67" s="92"/>
      <c r="AX67" s="91"/>
    </row>
    <row r="68" spans="1:50" ht="14.25" thickBot="1" thickTop="1">
      <c r="A68" s="74" t="s">
        <v>65</v>
      </c>
      <c r="B68" s="75">
        <v>8182</v>
      </c>
      <c r="C68" s="454"/>
      <c r="D68" s="455"/>
      <c r="E68" s="76"/>
      <c r="F68" s="93" t="s">
        <v>85</v>
      </c>
      <c r="G68" s="94">
        <f>ROUND(B84*(100-G81-G83-G84),3)</f>
        <v>0.1</v>
      </c>
      <c r="H68" s="94">
        <f>ROUND(C84*(100-H81-H83-H84),3)</f>
        <v>0.107</v>
      </c>
      <c r="I68" s="94">
        <f>ROUND(D84*(100-I81-I83-I84),3)</f>
        <v>0.115</v>
      </c>
      <c r="J68" s="94">
        <f>ROUND(E84*(100-J81-J83-J84),3)</f>
        <v>0.127</v>
      </c>
      <c r="K68" s="78"/>
      <c r="L68" s="76"/>
      <c r="M68" s="76"/>
      <c r="N68" s="76"/>
      <c r="O68" s="91"/>
      <c r="P68" s="95" t="s">
        <v>76</v>
      </c>
      <c r="Q68" s="96">
        <f>ROUND((G69*$B68*Q83*10^-8),5)</f>
        <v>0.09977</v>
      </c>
      <c r="R68" s="96">
        <f>ROUND((H69*$B68*R83*10^-8),5)</f>
        <v>0.1074</v>
      </c>
      <c r="S68" s="96">
        <f>ROUND((I69*$B68*S83*10^-8),5)</f>
        <v>0.11501</v>
      </c>
      <c r="T68" s="96">
        <f>ROUND((J69*$B68*T83*10^-8),5)</f>
        <v>0.12792</v>
      </c>
      <c r="AU68" s="97">
        <f>G79</f>
        <v>9.03</v>
      </c>
      <c r="AV68" s="98">
        <v>0</v>
      </c>
      <c r="AW68" s="91"/>
      <c r="AX68" s="91"/>
    </row>
    <row r="69" spans="1:50" ht="13.5" thickBot="1">
      <c r="A69" s="76"/>
      <c r="B69" s="76"/>
      <c r="C69" s="99"/>
      <c r="D69" s="20"/>
      <c r="E69" s="20"/>
      <c r="F69" s="74" t="s">
        <v>51</v>
      </c>
      <c r="G69" s="100">
        <v>13</v>
      </c>
      <c r="H69" s="100">
        <v>14</v>
      </c>
      <c r="I69" s="100">
        <v>15</v>
      </c>
      <c r="J69" s="101">
        <f>B75</f>
        <v>16.7</v>
      </c>
      <c r="K69" s="78"/>
      <c r="L69" s="76"/>
      <c r="M69" s="76"/>
      <c r="N69" s="76"/>
      <c r="O69" s="91"/>
      <c r="P69" s="91"/>
      <c r="Q69" s="102"/>
      <c r="R69" s="103"/>
      <c r="S69" s="103"/>
      <c r="T69" s="103"/>
      <c r="AU69" s="104">
        <f>H79</f>
        <v>8.69</v>
      </c>
      <c r="AV69" s="105">
        <f>H79</f>
        <v>8.69</v>
      </c>
      <c r="AW69" s="91"/>
      <c r="AX69" s="91"/>
    </row>
    <row r="70" spans="1:50" ht="13.5" thickBot="1">
      <c r="A70" s="84" t="s">
        <v>334</v>
      </c>
      <c r="B70" s="384">
        <f>ROUND(B65*10^8/(B67*B68),1)</f>
        <v>17.1</v>
      </c>
      <c r="C70" s="20"/>
      <c r="D70" s="20"/>
      <c r="E70" s="20"/>
      <c r="F70" s="74" t="s">
        <v>52</v>
      </c>
      <c r="G70" s="100">
        <v>120</v>
      </c>
      <c r="H70" s="100"/>
      <c r="I70" s="100"/>
      <c r="J70" s="100">
        <v>110</v>
      </c>
      <c r="K70" s="78"/>
      <c r="L70" s="76"/>
      <c r="M70" s="76"/>
      <c r="N70" s="76"/>
      <c r="O70" s="106"/>
      <c r="P70" s="106"/>
      <c r="Q70" s="102"/>
      <c r="R70" s="103"/>
      <c r="S70" s="103"/>
      <c r="T70" s="103"/>
      <c r="AU70" s="104">
        <f>H78</f>
        <v>5.5</v>
      </c>
      <c r="AV70" s="105">
        <v>0</v>
      </c>
      <c r="AW70" s="91"/>
      <c r="AX70" s="106"/>
    </row>
    <row r="71" spans="1:50" ht="13.5" thickBot="1">
      <c r="A71" s="76"/>
      <c r="B71" s="76"/>
      <c r="C71" s="442" t="s">
        <v>74</v>
      </c>
      <c r="D71" s="443"/>
      <c r="E71" s="444"/>
      <c r="F71" s="74" t="s">
        <v>53</v>
      </c>
      <c r="G71" s="100"/>
      <c r="H71" s="100"/>
      <c r="I71" s="100"/>
      <c r="J71" s="100"/>
      <c r="K71" s="78"/>
      <c r="L71" s="76"/>
      <c r="M71" s="76"/>
      <c r="N71" s="76"/>
      <c r="O71" s="107"/>
      <c r="P71" s="107"/>
      <c r="Q71" s="102"/>
      <c r="R71" s="103"/>
      <c r="S71" s="103"/>
      <c r="T71" s="103"/>
      <c r="AU71" s="104">
        <f>H78*0.999</f>
        <v>5.4945</v>
      </c>
      <c r="AV71" s="105">
        <f>H78</f>
        <v>5.5</v>
      </c>
      <c r="AW71" s="91"/>
      <c r="AX71" s="107"/>
    </row>
    <row r="72" spans="1:50" ht="13.5" thickBot="1">
      <c r="A72" s="76"/>
      <c r="B72" s="76"/>
      <c r="C72" s="445"/>
      <c r="D72" s="446"/>
      <c r="E72" s="447"/>
      <c r="F72" s="109" t="s">
        <v>54</v>
      </c>
      <c r="G72" s="110"/>
      <c r="H72" s="110"/>
      <c r="I72" s="110"/>
      <c r="J72" s="110"/>
      <c r="K72" s="78"/>
      <c r="L72" s="76"/>
      <c r="M72" s="76"/>
      <c r="N72" s="76"/>
      <c r="O72" s="106"/>
      <c r="P72" s="106"/>
      <c r="Q72" s="102"/>
      <c r="R72" s="103"/>
      <c r="S72" s="103"/>
      <c r="T72" s="103"/>
      <c r="AU72" s="111">
        <f>H79</f>
        <v>8.69</v>
      </c>
      <c r="AV72" s="112">
        <v>0</v>
      </c>
      <c r="AW72" s="91"/>
      <c r="AX72" s="106"/>
    </row>
    <row r="73" spans="1:50" ht="13.5" thickBot="1">
      <c r="A73" s="76"/>
      <c r="B73" s="76"/>
      <c r="C73" s="76"/>
      <c r="D73" s="76"/>
      <c r="E73" s="76"/>
      <c r="F73" s="76"/>
      <c r="G73" s="113">
        <f>Q74</f>
        <v>111</v>
      </c>
      <c r="H73" s="113">
        <f>R74</f>
        <v>116</v>
      </c>
      <c r="I73" s="113">
        <f>S74</f>
        <v>121</v>
      </c>
      <c r="J73" s="113">
        <f>T74</f>
        <v>128</v>
      </c>
      <c r="K73" s="76"/>
      <c r="L73" s="76"/>
      <c r="M73" s="76"/>
      <c r="N73" s="76"/>
      <c r="O73" s="76"/>
      <c r="P73" s="76"/>
      <c r="Q73" s="76"/>
      <c r="R73" s="76"/>
      <c r="S73" s="76"/>
      <c r="T73" s="76"/>
      <c r="AU73" s="114">
        <f>I79</f>
        <v>9.09</v>
      </c>
      <c r="AV73" s="115">
        <f>I79</f>
        <v>9.09</v>
      </c>
      <c r="AW73" s="91"/>
      <c r="AX73" s="106"/>
    </row>
    <row r="74" spans="1:50" ht="13.5" thickBot="1">
      <c r="A74" s="74" t="s">
        <v>67</v>
      </c>
      <c r="B74" s="75">
        <v>15</v>
      </c>
      <c r="C74" s="76"/>
      <c r="D74" s="76"/>
      <c r="E74" s="76"/>
      <c r="F74" s="74" t="s">
        <v>86</v>
      </c>
      <c r="G74" s="100">
        <v>114</v>
      </c>
      <c r="H74" s="100"/>
      <c r="I74" s="100"/>
      <c r="J74" s="100">
        <v>149</v>
      </c>
      <c r="K74" s="78"/>
      <c r="L74" s="76"/>
      <c r="M74" s="76"/>
      <c r="N74" s="76"/>
      <c r="O74" s="106"/>
      <c r="P74" s="116" t="s">
        <v>86</v>
      </c>
      <c r="Q74" s="117">
        <f>ROUND(Q81/(0.01*L82)+0.85*$B74,0)</f>
        <v>111</v>
      </c>
      <c r="R74" s="117">
        <f>ROUND(R81/(0.01*M82)+0.85*$B74,0)</f>
        <v>116</v>
      </c>
      <c r="S74" s="117">
        <f>ROUND(S81/(0.01*N82)+0.85*$B74,0)</f>
        <v>121</v>
      </c>
      <c r="T74" s="117">
        <f>ROUND(T81/(0.01*O82)+0.85*$B74,0)</f>
        <v>128</v>
      </c>
      <c r="AU74" s="114">
        <f>I78</f>
        <v>4.8</v>
      </c>
      <c r="AV74" s="115">
        <v>0</v>
      </c>
      <c r="AW74" s="78"/>
      <c r="AX74" s="78"/>
    </row>
    <row r="75" spans="1:50" ht="13.5" thickBot="1">
      <c r="A75" s="74" t="s">
        <v>66</v>
      </c>
      <c r="B75" s="75">
        <v>16.7</v>
      </c>
      <c r="C75" s="76"/>
      <c r="D75" s="76"/>
      <c r="E75" s="76"/>
      <c r="F75" s="84" t="s">
        <v>86</v>
      </c>
      <c r="G75" s="118">
        <f>IF(G74=0,Q74,G74)</f>
        <v>114</v>
      </c>
      <c r="H75" s="118">
        <f>IF(H74=0,R74,H74)</f>
        <v>116</v>
      </c>
      <c r="I75" s="118">
        <f>IF(I74=0,S74,I74)</f>
        <v>121</v>
      </c>
      <c r="J75" s="118">
        <f>IF(J74=0,T74,J74)</f>
        <v>149</v>
      </c>
      <c r="K75" s="78"/>
      <c r="L75" s="76"/>
      <c r="M75" s="76"/>
      <c r="N75" s="76"/>
      <c r="O75" s="78"/>
      <c r="P75" s="76"/>
      <c r="Q75" s="76"/>
      <c r="R75" s="76"/>
      <c r="S75" s="78"/>
      <c r="T75" s="76"/>
      <c r="AU75" s="114">
        <f>I78*0.999</f>
        <v>4.7951999999999995</v>
      </c>
      <c r="AV75" s="115">
        <f>I78</f>
        <v>4.8</v>
      </c>
      <c r="AW75" s="78"/>
      <c r="AX75" s="91"/>
    </row>
    <row r="76" spans="1:50" ht="13.5" thickBot="1">
      <c r="A76" s="108" t="s">
        <v>72</v>
      </c>
      <c r="B76" s="75">
        <v>33</v>
      </c>
      <c r="C76" s="76"/>
      <c r="D76" s="76"/>
      <c r="E76" s="76"/>
      <c r="F76" s="76"/>
      <c r="G76" s="113">
        <f>ROUND(Q77,1)</f>
        <v>6.2</v>
      </c>
      <c r="H76" s="113">
        <f>ROUND(R77,1)</f>
        <v>5.5</v>
      </c>
      <c r="I76" s="113">
        <f>ROUND(S77,1)</f>
        <v>4.8</v>
      </c>
      <c r="J76" s="113">
        <f>ROUND(T77,1)</f>
        <v>4.1</v>
      </c>
      <c r="K76" s="76"/>
      <c r="L76" s="76"/>
      <c r="M76" s="76"/>
      <c r="N76" s="76"/>
      <c r="O76" s="76"/>
      <c r="P76" s="76"/>
      <c r="Q76" s="76"/>
      <c r="R76" s="76"/>
      <c r="S76" s="76"/>
      <c r="T76" s="76"/>
      <c r="AU76" s="120">
        <f>I79</f>
        <v>9.09</v>
      </c>
      <c r="AV76" s="121">
        <v>0</v>
      </c>
      <c r="AW76" s="76"/>
      <c r="AX76" s="76"/>
    </row>
    <row r="77" spans="1:50" ht="13.5" thickBot="1">
      <c r="A77" s="76"/>
      <c r="B77" s="76"/>
      <c r="C77" s="76"/>
      <c r="D77" s="76"/>
      <c r="E77" s="76"/>
      <c r="F77" s="74" t="s">
        <v>87</v>
      </c>
      <c r="G77" s="100">
        <v>4.9</v>
      </c>
      <c r="H77" s="100"/>
      <c r="I77" s="100"/>
      <c r="J77" s="100"/>
      <c r="K77" s="76"/>
      <c r="L77" s="76"/>
      <c r="M77" s="76"/>
      <c r="N77" s="76"/>
      <c r="O77" s="102"/>
      <c r="P77" s="116" t="s">
        <v>98</v>
      </c>
      <c r="Q77" s="117">
        <f>ROUND(((21*Q80-21)/(Q80-0.1)),4)</f>
        <v>6.2113</v>
      </c>
      <c r="R77" s="117">
        <f>ROUND(((21*R80-21)/(R80-0.1)),4)</f>
        <v>5.5272</v>
      </c>
      <c r="S77" s="117">
        <f>ROUND(((21*S80-21)/(S80-0.1)),4)</f>
        <v>4.8323</v>
      </c>
      <c r="T77" s="117">
        <f>ROUND(((21*T80-21)/(T80-0.1)),4)</f>
        <v>4.125</v>
      </c>
      <c r="AU77" s="122">
        <f>J79</f>
        <v>9.49</v>
      </c>
      <c r="AV77" s="123">
        <f>J79</f>
        <v>9.49</v>
      </c>
      <c r="AW77" s="76"/>
      <c r="AX77" s="76"/>
    </row>
    <row r="78" spans="1:50" ht="13.5" thickBot="1">
      <c r="A78" s="76"/>
      <c r="B78" s="76"/>
      <c r="C78" s="76"/>
      <c r="D78" s="76"/>
      <c r="E78" s="76"/>
      <c r="F78" s="84" t="s">
        <v>87</v>
      </c>
      <c r="G78" s="118">
        <f>IF(G77&gt;0,G77,ROUND(Q77,1))</f>
        <v>4.9</v>
      </c>
      <c r="H78" s="118">
        <f>IF(H77&gt;0,H77,ROUND(R77,1))</f>
        <v>5.5</v>
      </c>
      <c r="I78" s="118">
        <f>IF(I77&gt;0,I77,ROUND(S77,1))</f>
        <v>4.8</v>
      </c>
      <c r="J78" s="118">
        <f>IF(J77&gt;0,J77,ROUND(T77,1))</f>
        <v>4.1</v>
      </c>
      <c r="K78" s="76"/>
      <c r="L78" s="76"/>
      <c r="M78" s="76"/>
      <c r="N78" s="76"/>
      <c r="O78" s="76"/>
      <c r="P78" s="76"/>
      <c r="Q78" s="76"/>
      <c r="R78" s="76"/>
      <c r="S78" s="76"/>
      <c r="T78" s="76"/>
      <c r="AU78" s="122">
        <f>J78</f>
        <v>4.1</v>
      </c>
      <c r="AV78" s="123">
        <v>0</v>
      </c>
      <c r="AW78" s="76"/>
      <c r="AX78" s="76"/>
    </row>
    <row r="79" spans="1:50" ht="13.5" thickBot="1">
      <c r="A79" s="74" t="s">
        <v>81</v>
      </c>
      <c r="B79" s="75">
        <v>1.22</v>
      </c>
      <c r="C79" s="76"/>
      <c r="D79" s="76"/>
      <c r="E79" s="76"/>
      <c r="F79" s="84" t="s">
        <v>88</v>
      </c>
      <c r="G79" s="118">
        <f>ROUND((11.8-0.5646*G78),2)</f>
        <v>9.03</v>
      </c>
      <c r="H79" s="118">
        <f>ROUND((11.8-0.5646*H78),2)</f>
        <v>8.69</v>
      </c>
      <c r="I79" s="118">
        <f>ROUND((11.8-0.5646*I78),2)</f>
        <v>9.09</v>
      </c>
      <c r="J79" s="118">
        <f>ROUND((11.8-0.5646*J78),2)</f>
        <v>9.49</v>
      </c>
      <c r="K79" s="76"/>
      <c r="L79" s="76"/>
      <c r="M79" s="76"/>
      <c r="N79" s="76"/>
      <c r="O79" s="76"/>
      <c r="P79" s="116" t="s">
        <v>99</v>
      </c>
      <c r="Q79" s="117">
        <f>ROUND((11.8-0.5646*Q77),4)</f>
        <v>8.2931</v>
      </c>
      <c r="R79" s="117">
        <f>ROUND((11.8-0.5646*R77),4)</f>
        <v>8.6793</v>
      </c>
      <c r="S79" s="117">
        <f>ROUND((11.8-0.5646*S77),4)</f>
        <v>9.0717</v>
      </c>
      <c r="T79" s="117">
        <f>ROUND((11.8-0.5646*T77),4)</f>
        <v>9.471</v>
      </c>
      <c r="AU79" s="122">
        <f>J78*0.999</f>
        <v>4.095899999999999</v>
      </c>
      <c r="AV79" s="123">
        <f>J78</f>
        <v>4.1</v>
      </c>
      <c r="AW79" s="76"/>
      <c r="AX79" s="76"/>
    </row>
    <row r="80" spans="1:50" ht="13.5" thickBot="1">
      <c r="A80" s="119" t="s">
        <v>82</v>
      </c>
      <c r="B80" s="75">
        <v>0.2</v>
      </c>
      <c r="C80" s="103" t="s">
        <v>77</v>
      </c>
      <c r="D80" s="76"/>
      <c r="E80" s="76"/>
      <c r="F80" s="129" t="s">
        <v>89</v>
      </c>
      <c r="G80" s="101">
        <f>ROUND(((21-0.1*G78)/(21-G78)),2)</f>
        <v>1.27</v>
      </c>
      <c r="H80" s="101">
        <f>ROUND(((21-0.1*H78)/(21-H78)),2)</f>
        <v>1.32</v>
      </c>
      <c r="I80" s="101">
        <f>ROUND(((21-0.1*I78)/(21-I78)),2)</f>
        <v>1.27</v>
      </c>
      <c r="J80" s="101">
        <f>ROUND(((21-0.1*J78)/(21-J78)),2)</f>
        <v>1.22</v>
      </c>
      <c r="K80" s="76"/>
      <c r="L80" s="76"/>
      <c r="M80" s="76"/>
      <c r="N80" s="76"/>
      <c r="O80" s="76"/>
      <c r="P80" s="116" t="s">
        <v>100</v>
      </c>
      <c r="Q80" s="117">
        <f>ROUND(((T80-1)*B80*(B75/G69)+R80),4)</f>
        <v>1.378</v>
      </c>
      <c r="R80" s="117">
        <f>ROUND(((T80-1)*B80*(B75/H69)+S80),4)</f>
        <v>1.3215</v>
      </c>
      <c r="S80" s="117">
        <f>ROUND(((T80-1)*B80*(B75/I69)+T80),4)</f>
        <v>1.269</v>
      </c>
      <c r="T80" s="117">
        <f>B79</f>
        <v>1.22</v>
      </c>
      <c r="AU80" s="130">
        <f>J79</f>
        <v>9.49</v>
      </c>
      <c r="AV80" s="131">
        <v>0</v>
      </c>
      <c r="AW80" s="76"/>
      <c r="AX80" s="76"/>
    </row>
    <row r="81" spans="1:20" ht="13.5" thickBot="1">
      <c r="A81" s="74" t="s">
        <v>83</v>
      </c>
      <c r="B81" s="75">
        <v>93.8</v>
      </c>
      <c r="C81" s="76"/>
      <c r="D81" s="76"/>
      <c r="E81" s="76"/>
      <c r="F81" s="84" t="s">
        <v>90</v>
      </c>
      <c r="G81" s="118">
        <f>ROUND(0.01*B86*(G75-0.85*B74),2)</f>
        <v>5.1</v>
      </c>
      <c r="H81" s="118">
        <f>ROUND(0.01*C86*(H75-0.85*B74),2)</f>
        <v>5.37</v>
      </c>
      <c r="I81" s="118">
        <f>ROUND(0.01*D86*(I75-0.85*B74),2)</f>
        <v>5.43</v>
      </c>
      <c r="J81" s="118">
        <f>ROUND(0.01*E86*(J75-0.85*B74),2)</f>
        <v>6.62</v>
      </c>
      <c r="K81" s="76"/>
      <c r="L81" s="76"/>
      <c r="M81" s="76"/>
      <c r="N81" s="76"/>
      <c r="O81" s="76"/>
      <c r="P81" s="116" t="s">
        <v>101</v>
      </c>
      <c r="Q81" s="117">
        <f>ROUND((100-Q83-Q82),4)</f>
        <v>5.2738</v>
      </c>
      <c r="R81" s="117">
        <f>$Q81*(($B82-1)*H69/$G69+2-$B82)</f>
        <v>5.354935384615385</v>
      </c>
      <c r="S81" s="117">
        <f>$Q81*(($B82-1)*I69/$G69+2-$B82)</f>
        <v>5.43607076923077</v>
      </c>
      <c r="T81" s="117">
        <f>$Q81*(($B82-1)*J69/$G69+2-$B82)</f>
        <v>5.574000923076922</v>
      </c>
    </row>
    <row r="82" spans="1:20" ht="13.5" thickBot="1">
      <c r="A82" s="119" t="s">
        <v>84</v>
      </c>
      <c r="B82" s="75">
        <v>1.2</v>
      </c>
      <c r="C82" s="103" t="s">
        <v>73</v>
      </c>
      <c r="D82" s="76"/>
      <c r="E82" s="76"/>
      <c r="F82" s="74" t="s">
        <v>133</v>
      </c>
      <c r="G82" s="100"/>
      <c r="H82" s="100"/>
      <c r="I82" s="100"/>
      <c r="J82" s="100"/>
      <c r="K82" s="116" t="s">
        <v>97</v>
      </c>
      <c r="L82" s="117">
        <f>ROUND((Q79^-0.8048*29.557),4)</f>
        <v>5.3861</v>
      </c>
      <c r="M82" s="117">
        <f>ROUND((R79^-0.8048*29.557),4)</f>
        <v>5.1924</v>
      </c>
      <c r="N82" s="117">
        <f>ROUND((S79^-0.8048*29.557),4)</f>
        <v>5.0109</v>
      </c>
      <c r="O82" s="117">
        <f>ROUND((T79^-0.8048*29.557),4)</f>
        <v>4.8401</v>
      </c>
      <c r="P82" s="127" t="s">
        <v>102</v>
      </c>
      <c r="Q82" s="117">
        <f>ROUND(($B66*(0.5+$B70/(2*G69))),4)</f>
        <v>0.9262</v>
      </c>
      <c r="R82" s="117">
        <f>ROUND(($B66*(0.5+$B70/(2*H69))),4)</f>
        <v>0.8886</v>
      </c>
      <c r="S82" s="117">
        <f>ROUND(($B66*(0.5+$B70/(2*I69))),4)</f>
        <v>0.856</v>
      </c>
      <c r="T82" s="117">
        <f>ROUND(($B66*(0.5+$B70/(2*J69))),4)</f>
        <v>0.8096</v>
      </c>
    </row>
    <row r="83" spans="1:20" ht="13.5" thickBot="1">
      <c r="A83" s="124"/>
      <c r="B83" s="125"/>
      <c r="C83" s="126"/>
      <c r="D83" s="126"/>
      <c r="E83" s="76"/>
      <c r="F83" s="84" t="s">
        <v>132</v>
      </c>
      <c r="G83" s="118">
        <f>ROUND((126.5*G82*10^(-4)*11.8*100/(4200*(G79+G82*10^(-4)))),1)</f>
        <v>0</v>
      </c>
      <c r="H83" s="118">
        <f>ROUND((126.5*H82*10^(-4)*11.8*100/(4200*(H79+H82*10^(-4)))),1)</f>
        <v>0</v>
      </c>
      <c r="I83" s="118">
        <f>ROUND((126.5*I82*10^(-4)*11.8*100/(4200*(I79+I82*10^(-4)))),1)</f>
        <v>0</v>
      </c>
      <c r="J83" s="118">
        <f>ROUND((126.5*J82*10^(-4)*11.8*100/(4200*(J79+J82*10^(-4)))),1)</f>
        <v>0</v>
      </c>
      <c r="K83" s="76"/>
      <c r="L83" s="78"/>
      <c r="M83" s="76"/>
      <c r="N83" s="76"/>
      <c r="O83" s="76"/>
      <c r="P83" s="116" t="s">
        <v>103</v>
      </c>
      <c r="Q83" s="117">
        <f>B81</f>
        <v>93.8</v>
      </c>
      <c r="R83" s="117">
        <f>ROUND(100-R81-R82,3)</f>
        <v>93.756</v>
      </c>
      <c r="S83" s="117">
        <f>ROUND(100-S81-S82,3)</f>
        <v>93.708</v>
      </c>
      <c r="T83" s="117">
        <f>ROUND(100-T81-T82,3)</f>
        <v>93.616</v>
      </c>
    </row>
    <row r="84" spans="1:20" ht="13.5" thickBot="1">
      <c r="A84" s="127" t="s">
        <v>71</v>
      </c>
      <c r="B84" s="128">
        <f>ROUND((G69*B68*10^-8),7)</f>
        <v>0.0010637</v>
      </c>
      <c r="C84" s="128">
        <f>ROUND((H69*B68*10^-8),7)</f>
        <v>0.0011455</v>
      </c>
      <c r="D84" s="128">
        <f>ROUND((I69*B68*10^-8),7)</f>
        <v>0.0012273</v>
      </c>
      <c r="E84" s="128">
        <f>ROUND((J69*B68*10^-8),7)</f>
        <v>0.0013664</v>
      </c>
      <c r="F84" s="134" t="s">
        <v>91</v>
      </c>
      <c r="G84" s="134">
        <f>ROUND(($B66*(0.5+$B74/(2*G69))),2)</f>
        <v>0.86</v>
      </c>
      <c r="H84" s="134">
        <f>ROUND(($B66*(0.5+$B74/(2*H69))),2)</f>
        <v>0.83</v>
      </c>
      <c r="I84" s="134">
        <f>ROUND(($B66*(0.5+$B74/(2*I69))),2)</f>
        <v>0.8</v>
      </c>
      <c r="J84" s="134">
        <f>ROUND(($B66*(0.5+$B74/(2*J69))),2)</f>
        <v>0.76</v>
      </c>
      <c r="K84" s="76"/>
      <c r="L84" s="76"/>
      <c r="M84" s="76"/>
      <c r="N84" s="76"/>
      <c r="O84" s="76"/>
      <c r="P84" s="76"/>
      <c r="Q84" s="76"/>
      <c r="R84" s="76"/>
      <c r="S84" s="76"/>
      <c r="T84" s="76"/>
    </row>
    <row r="85" spans="1:20" ht="14.25" thickBot="1" thickTop="1">
      <c r="A85" s="132"/>
      <c r="B85" s="133"/>
      <c r="C85" s="133"/>
      <c r="D85" s="133"/>
      <c r="E85" s="133"/>
      <c r="F85" s="93" t="s">
        <v>92</v>
      </c>
      <c r="G85" s="135">
        <f>ROUND((100-G81-G83-G84),1)</f>
        <v>94</v>
      </c>
      <c r="H85" s="135">
        <f>ROUND((100-H81-H83-H84),1)</f>
        <v>93.8</v>
      </c>
      <c r="I85" s="135">
        <f>ROUND((100-I81-I83-I84),1)</f>
        <v>93.8</v>
      </c>
      <c r="J85" s="135">
        <f>ROUND((100-J81-J83-J84),1)</f>
        <v>92.6</v>
      </c>
      <c r="K85" s="76"/>
      <c r="L85" s="76"/>
      <c r="M85" s="76"/>
      <c r="N85" s="76"/>
      <c r="O85" s="76"/>
      <c r="P85" s="76"/>
      <c r="Q85" s="76"/>
      <c r="R85" s="76"/>
      <c r="S85" s="76"/>
      <c r="T85" s="76"/>
    </row>
    <row r="86" spans="1:20" ht="13.5" thickBot="1">
      <c r="A86" s="84" t="s">
        <v>96</v>
      </c>
      <c r="B86" s="118">
        <f>ROUND((1.23*10^-4*(G79^-0.8048*29.557)*G75+0.9877*(G79^-0.8048*29.557)),2)</f>
        <v>5.04</v>
      </c>
      <c r="C86" s="118">
        <f>ROUND((1.23*10^-4*(H79^-0.8048*29.557)*H75+0.9877*(H79^-0.8048*29.557)),2)</f>
        <v>5.2</v>
      </c>
      <c r="D86" s="118">
        <f>ROUND((1.23*10^-4*(I79^-0.8048*29.557)*I75+0.9877*(I79^-0.8048*29.557)),2)</f>
        <v>5.02</v>
      </c>
      <c r="E86" s="118">
        <f>ROUND((1.23*10^-4*(J79^-0.8048*29.557)*J75+0.9877*(J79^-0.8048*29.557)),2)</f>
        <v>4.86</v>
      </c>
      <c r="F86" s="118" t="s">
        <v>78</v>
      </c>
      <c r="G86" s="118">
        <f>ROUND((100000/(7*G85)),1)</f>
        <v>152</v>
      </c>
      <c r="H86" s="118">
        <f>ROUND((100000/(7*H85)),1)</f>
        <v>152.3</v>
      </c>
      <c r="I86" s="118">
        <f>ROUND((100000/(7*I85)),1)</f>
        <v>152.3</v>
      </c>
      <c r="J86" s="118">
        <f>ROUND((100000/(7*J85)),1)</f>
        <v>154.3</v>
      </c>
      <c r="K86" s="76"/>
      <c r="L86" s="76"/>
      <c r="M86" s="76"/>
      <c r="N86" s="76"/>
      <c r="O86" s="76"/>
      <c r="P86" s="76"/>
      <c r="Q86" s="76"/>
      <c r="R86" s="76"/>
      <c r="S86" s="76"/>
      <c r="T86" s="76"/>
    </row>
    <row r="87" spans="6:20" ht="12.75">
      <c r="F87" s="76"/>
      <c r="G87" s="103"/>
      <c r="H87" s="103"/>
      <c r="I87" s="103"/>
      <c r="J87" s="103"/>
      <c r="K87" s="76"/>
      <c r="L87" s="76"/>
      <c r="M87" s="76"/>
      <c r="N87" s="76"/>
      <c r="O87" s="76"/>
      <c r="P87" s="76"/>
      <c r="Q87" s="76"/>
      <c r="R87" s="76"/>
      <c r="S87" s="76"/>
      <c r="T87" s="76"/>
    </row>
    <row r="88" spans="6:20" ht="13.5" thickBot="1">
      <c r="F88" s="76"/>
      <c r="G88" s="76"/>
      <c r="H88" s="103"/>
      <c r="I88" s="103"/>
      <c r="J88" s="103"/>
      <c r="K88" s="76"/>
      <c r="L88" s="76"/>
      <c r="M88" s="76"/>
      <c r="N88" s="76"/>
      <c r="O88" s="76"/>
      <c r="P88" s="76"/>
      <c r="Q88" s="76"/>
      <c r="R88" s="76"/>
      <c r="S88" s="76"/>
      <c r="T88" s="76"/>
    </row>
    <row r="89" spans="1:20" ht="13.5" thickBot="1">
      <c r="A89" s="20"/>
      <c r="B89" s="20"/>
      <c r="C89" s="20"/>
      <c r="D89" s="20"/>
      <c r="E89" s="20"/>
      <c r="F89" s="136" t="s">
        <v>93</v>
      </c>
      <c r="G89" s="140">
        <v>33</v>
      </c>
      <c r="H89" s="140"/>
      <c r="I89" s="140"/>
      <c r="J89" s="118">
        <f>B76</f>
        <v>33</v>
      </c>
      <c r="K89" s="76"/>
      <c r="L89" s="76"/>
      <c r="M89" s="76"/>
      <c r="N89" s="76"/>
      <c r="O89" s="76"/>
      <c r="P89" s="76"/>
      <c r="Q89" s="76"/>
      <c r="R89" s="76"/>
      <c r="S89" s="76"/>
      <c r="T89" s="76"/>
    </row>
    <row r="90" spans="6:20" ht="13.5" thickBot="1">
      <c r="F90" s="136" t="s">
        <v>94</v>
      </c>
      <c r="G90" s="118">
        <f>ROUND((G89*1.05),0)</f>
        <v>35</v>
      </c>
      <c r="H90" s="118">
        <f>ROUND((H89*1.05),0)</f>
        <v>0</v>
      </c>
      <c r="I90" s="118">
        <f>ROUND((I89*1.05),0)</f>
        <v>0</v>
      </c>
      <c r="J90" s="118">
        <f>ROUND((J89*1.05),0)</f>
        <v>35</v>
      </c>
      <c r="K90" s="76"/>
      <c r="L90" s="76"/>
      <c r="M90" s="76"/>
      <c r="N90" s="76"/>
      <c r="O90" s="76"/>
      <c r="P90" s="76"/>
      <c r="Q90" s="76"/>
      <c r="R90" s="76"/>
      <c r="S90" s="76"/>
      <c r="T90" s="76"/>
    </row>
    <row r="91" spans="6:20" ht="13.5" thickBot="1">
      <c r="F91" s="136" t="s">
        <v>95</v>
      </c>
      <c r="G91" s="118">
        <f>ROUND((G89*1.05*2.053*G80),0)</f>
        <v>90</v>
      </c>
      <c r="H91" s="118">
        <f>ROUND((H89*1.05*2.053*H80),0)</f>
        <v>0</v>
      </c>
      <c r="I91" s="118">
        <f>ROUND((I89*1.05*2.053*I80),0)</f>
        <v>0</v>
      </c>
      <c r="J91" s="118">
        <f>ROUND((J89*1.05*2.053*J80),0)</f>
        <v>87</v>
      </c>
      <c r="K91" s="76"/>
      <c r="L91" s="76"/>
      <c r="M91" s="76"/>
      <c r="N91" s="76"/>
      <c r="O91" s="76"/>
      <c r="P91" s="76"/>
      <c r="Q91" s="76"/>
      <c r="R91" s="76"/>
      <c r="S91" s="76"/>
      <c r="T91" s="76"/>
    </row>
    <row r="93" spans="1:14" ht="12.75">
      <c r="A93" s="275"/>
      <c r="B93" s="275"/>
      <c r="C93" s="275"/>
      <c r="D93" s="275"/>
      <c r="E93" s="275"/>
      <c r="F93" s="275"/>
      <c r="G93" s="275"/>
      <c r="H93" s="275"/>
      <c r="I93" s="275"/>
      <c r="J93" s="275"/>
      <c r="K93" s="275"/>
      <c r="L93" s="275"/>
      <c r="M93" s="275"/>
      <c r="N93" s="275"/>
    </row>
    <row r="94" spans="1:14" ht="12.75">
      <c r="A94" s="275"/>
      <c r="B94" s="275"/>
      <c r="C94" s="275"/>
      <c r="D94" s="275"/>
      <c r="E94" s="275"/>
      <c r="F94" s="275"/>
      <c r="G94" s="275"/>
      <c r="H94" s="275"/>
      <c r="I94" s="275"/>
      <c r="J94" s="275"/>
      <c r="K94" s="275"/>
      <c r="L94" s="275"/>
      <c r="M94" s="275"/>
      <c r="N94" s="275"/>
    </row>
    <row r="95" spans="1:14" ht="12.75">
      <c r="A95" s="275"/>
      <c r="B95" s="275"/>
      <c r="C95" s="275"/>
      <c r="D95" s="275"/>
      <c r="E95" s="275"/>
      <c r="F95" s="275"/>
      <c r="G95" s="275"/>
      <c r="H95" s="275"/>
      <c r="I95" s="275"/>
      <c r="J95" s="275"/>
      <c r="K95" s="275"/>
      <c r="L95" s="275"/>
      <c r="M95" s="275"/>
      <c r="N95" s="275"/>
    </row>
    <row r="96" spans="1:14" ht="12.75">
      <c r="A96" s="275"/>
      <c r="B96" s="275"/>
      <c r="C96" s="275"/>
      <c r="D96" s="275"/>
      <c r="E96" s="275"/>
      <c r="F96" s="275"/>
      <c r="G96" s="275"/>
      <c r="H96" s="275"/>
      <c r="I96" s="275"/>
      <c r="J96" s="275"/>
      <c r="K96" s="275"/>
      <c r="L96" s="275"/>
      <c r="M96" s="275"/>
      <c r="N96" s="275"/>
    </row>
    <row r="97" spans="1:14" ht="12.75">
      <c r="A97" s="275"/>
      <c r="B97" s="275"/>
      <c r="C97" s="275"/>
      <c r="D97" s="275"/>
      <c r="E97" s="275"/>
      <c r="F97" s="275"/>
      <c r="G97" s="275"/>
      <c r="H97" s="275"/>
      <c r="I97" s="275"/>
      <c r="J97" s="275"/>
      <c r="K97" s="275"/>
      <c r="L97" s="275"/>
      <c r="M97" s="275"/>
      <c r="N97" s="275"/>
    </row>
    <row r="98" spans="1:14" ht="12.75">
      <c r="A98" s="275"/>
      <c r="B98" s="275"/>
      <c r="C98" s="275"/>
      <c r="D98" s="275"/>
      <c r="E98" s="275"/>
      <c r="F98" s="275"/>
      <c r="G98" s="275"/>
      <c r="H98" s="275"/>
      <c r="I98" s="275"/>
      <c r="J98" s="275"/>
      <c r="K98" s="275"/>
      <c r="L98" s="275"/>
      <c r="M98" s="275"/>
      <c r="N98" s="275"/>
    </row>
    <row r="99" spans="1:14" ht="12.75">
      <c r="A99" s="275"/>
      <c r="B99" s="275"/>
      <c r="C99" s="275"/>
      <c r="D99" s="275"/>
      <c r="E99" s="275"/>
      <c r="F99" s="275"/>
      <c r="G99" s="275"/>
      <c r="H99" s="275"/>
      <c r="I99" s="275"/>
      <c r="J99" s="275"/>
      <c r="K99" s="275"/>
      <c r="L99" s="275"/>
      <c r="M99" s="275"/>
      <c r="N99" s="275"/>
    </row>
    <row r="100" spans="1:14" ht="12.75">
      <c r="A100" s="275"/>
      <c r="B100" s="275"/>
      <c r="C100" s="275"/>
      <c r="D100" s="275"/>
      <c r="E100" s="275"/>
      <c r="F100" s="275"/>
      <c r="G100" s="275"/>
      <c r="H100" s="275"/>
      <c r="I100" s="275"/>
      <c r="J100" s="275"/>
      <c r="K100" s="275"/>
      <c r="L100" s="275"/>
      <c r="M100" s="275"/>
      <c r="N100" s="275"/>
    </row>
    <row r="101" spans="1:14" ht="12.75">
      <c r="A101" s="275"/>
      <c r="B101" s="275"/>
      <c r="C101" s="275"/>
      <c r="D101" s="275"/>
      <c r="E101" s="275"/>
      <c r="F101" s="275"/>
      <c r="G101" s="275"/>
      <c r="H101" s="275"/>
      <c r="I101" s="275"/>
      <c r="J101" s="275"/>
      <c r="K101" s="275"/>
      <c r="L101" s="275"/>
      <c r="M101" s="275"/>
      <c r="N101" s="275"/>
    </row>
    <row r="102" spans="1:14" ht="12.75">
      <c r="A102" s="275"/>
      <c r="B102" s="275"/>
      <c r="C102" s="275"/>
      <c r="D102" s="275"/>
      <c r="E102" s="275"/>
      <c r="F102" s="275"/>
      <c r="G102" s="275"/>
      <c r="H102" s="275"/>
      <c r="I102" s="275"/>
      <c r="J102" s="275"/>
      <c r="K102" s="275"/>
      <c r="L102" s="275"/>
      <c r="M102" s="275"/>
      <c r="N102" s="275"/>
    </row>
    <row r="103" spans="1:14" ht="12.75">
      <c r="A103" s="275"/>
      <c r="B103" s="275"/>
      <c r="C103" s="275"/>
      <c r="D103" s="275"/>
      <c r="E103" s="275"/>
      <c r="F103" s="275"/>
      <c r="G103" s="275"/>
      <c r="H103" s="275"/>
      <c r="I103" s="275"/>
      <c r="J103" s="275"/>
      <c r="K103" s="275"/>
      <c r="L103" s="275"/>
      <c r="M103" s="275"/>
      <c r="N103" s="275"/>
    </row>
    <row r="104" spans="1:14" ht="12.75">
      <c r="A104" s="275"/>
      <c r="B104" s="275"/>
      <c r="C104" s="275"/>
      <c r="D104" s="275"/>
      <c r="E104" s="275"/>
      <c r="F104" s="275"/>
      <c r="G104" s="275"/>
      <c r="H104" s="275"/>
      <c r="I104" s="275"/>
      <c r="J104" s="275"/>
      <c r="K104" s="275"/>
      <c r="L104" s="275"/>
      <c r="M104" s="275"/>
      <c r="N104" s="275"/>
    </row>
    <row r="105" spans="1:14" ht="12.75">
      <c r="A105" s="275"/>
      <c r="B105" s="275"/>
      <c r="C105" s="275"/>
      <c r="D105" s="275"/>
      <c r="E105" s="275"/>
      <c r="F105" s="275"/>
      <c r="G105" s="275"/>
      <c r="H105" s="275"/>
      <c r="I105" s="275"/>
      <c r="J105" s="275"/>
      <c r="K105" s="275"/>
      <c r="L105" s="275"/>
      <c r="M105" s="275"/>
      <c r="N105" s="275"/>
    </row>
    <row r="106" spans="1:14" ht="12.75">
      <c r="A106" s="275"/>
      <c r="B106" s="275"/>
      <c r="C106" s="275"/>
      <c r="D106" s="275"/>
      <c r="E106" s="275"/>
      <c r="F106" s="275"/>
      <c r="G106" s="275"/>
      <c r="H106" s="275"/>
      <c r="I106" s="275"/>
      <c r="J106" s="275"/>
      <c r="K106" s="275"/>
      <c r="L106" s="275"/>
      <c r="M106" s="275"/>
      <c r="N106" s="275"/>
    </row>
    <row r="107" spans="1:14" ht="12.75">
      <c r="A107" s="275"/>
      <c r="B107" s="275"/>
      <c r="C107" s="275"/>
      <c r="D107" s="275"/>
      <c r="E107" s="275"/>
      <c r="F107" s="275"/>
      <c r="G107" s="275"/>
      <c r="H107" s="275"/>
      <c r="I107" s="275"/>
      <c r="J107" s="275"/>
      <c r="K107" s="275"/>
      <c r="L107" s="275"/>
      <c r="M107" s="275"/>
      <c r="N107" s="275"/>
    </row>
    <row r="108" spans="1:14" ht="12.75">
      <c r="A108" s="275"/>
      <c r="B108" s="275"/>
      <c r="C108" s="275"/>
      <c r="D108" s="275"/>
      <c r="E108" s="275"/>
      <c r="F108" s="275"/>
      <c r="G108" s="275"/>
      <c r="H108" s="275"/>
      <c r="I108" s="275"/>
      <c r="J108" s="275"/>
      <c r="K108" s="275"/>
      <c r="L108" s="275"/>
      <c r="M108" s="275"/>
      <c r="N108" s="275"/>
    </row>
    <row r="109" spans="1:14" ht="12.75">
      <c r="A109" s="275"/>
      <c r="B109" s="275"/>
      <c r="C109" s="275"/>
      <c r="D109" s="275"/>
      <c r="E109" s="275"/>
      <c r="F109" s="275"/>
      <c r="G109" s="275"/>
      <c r="H109" s="275"/>
      <c r="I109" s="275"/>
      <c r="J109" s="275"/>
      <c r="K109" s="275"/>
      <c r="L109" s="275"/>
      <c r="M109" s="275"/>
      <c r="N109" s="275"/>
    </row>
    <row r="110" spans="1:14" ht="12.75">
      <c r="A110" s="275"/>
      <c r="B110" s="275"/>
      <c r="C110" s="275"/>
      <c r="D110" s="275"/>
      <c r="E110" s="275"/>
      <c r="F110" s="275"/>
      <c r="G110" s="275"/>
      <c r="H110" s="275"/>
      <c r="I110" s="275"/>
      <c r="J110" s="275"/>
      <c r="K110" s="275"/>
      <c r="L110" s="275"/>
      <c r="M110" s="275"/>
      <c r="N110" s="275"/>
    </row>
    <row r="135" spans="2:6" ht="12.75">
      <c r="B135" s="241" t="s">
        <v>159</v>
      </c>
      <c r="C135" s="241">
        <v>20</v>
      </c>
      <c r="D135" s="241">
        <v>25</v>
      </c>
      <c r="E135" s="241">
        <v>30</v>
      </c>
      <c r="F135" s="241">
        <v>42</v>
      </c>
    </row>
    <row r="136" spans="2:6" ht="12.75">
      <c r="B136" s="241" t="s">
        <v>160</v>
      </c>
      <c r="C136" s="241">
        <v>30.7</v>
      </c>
      <c r="D136" s="241">
        <v>45.5</v>
      </c>
      <c r="E136" s="241">
        <v>58</v>
      </c>
      <c r="F136" s="241">
        <v>75.5</v>
      </c>
    </row>
    <row r="138" spans="3:5" ht="12.75">
      <c r="C138" s="275"/>
      <c r="D138" s="275"/>
      <c r="E138" s="275"/>
    </row>
    <row r="139" spans="1:5" ht="12.75">
      <c r="A139" s="275"/>
      <c r="B139" s="275"/>
      <c r="C139" s="275"/>
      <c r="D139" s="275"/>
      <c r="E139" s="275"/>
    </row>
    <row r="140" spans="1:5" ht="12.75">
      <c r="A140" s="275"/>
      <c r="B140" s="275"/>
      <c r="C140" s="275"/>
      <c r="D140" s="275"/>
      <c r="E140" s="275"/>
    </row>
    <row r="141" spans="1:5" ht="12.75">
      <c r="A141" s="275"/>
      <c r="B141" s="275"/>
      <c r="C141" s="275"/>
      <c r="D141" s="275"/>
      <c r="E141" s="275"/>
    </row>
    <row r="142" spans="1:6" ht="12.75">
      <c r="A142" s="275"/>
      <c r="B142" s="275"/>
      <c r="C142" s="275"/>
      <c r="D142" s="275"/>
      <c r="E142" s="275"/>
      <c r="F142" s="275"/>
    </row>
    <row r="143" spans="1:6" ht="12.75">
      <c r="A143" s="275"/>
      <c r="B143" s="275"/>
      <c r="C143" s="275"/>
      <c r="D143" s="275"/>
      <c r="E143" s="275"/>
      <c r="F143" s="275"/>
    </row>
    <row r="144" spans="3:6" ht="12.75">
      <c r="C144" s="275"/>
      <c r="D144" s="275"/>
      <c r="E144" s="275"/>
      <c r="F144" s="275"/>
    </row>
    <row r="145" spans="3:6" ht="12.75">
      <c r="C145" s="275"/>
      <c r="D145" s="275"/>
      <c r="E145" s="275"/>
      <c r="F145" s="275"/>
    </row>
    <row r="146" spans="3:6" ht="12.75">
      <c r="C146" s="275"/>
      <c r="D146" s="275"/>
      <c r="E146" s="275"/>
      <c r="F146" s="275"/>
    </row>
    <row r="147" spans="3:6" ht="12.75">
      <c r="C147" s="275"/>
      <c r="D147" s="275"/>
      <c r="E147" s="275"/>
      <c r="F147" s="275"/>
    </row>
    <row r="148" spans="1:6" ht="12.75">
      <c r="A148" s="275"/>
      <c r="B148" s="275"/>
      <c r="C148" s="275"/>
      <c r="D148" s="275"/>
      <c r="E148" s="275"/>
      <c r="F148" s="275"/>
    </row>
    <row r="149" spans="1:6" ht="12.75">
      <c r="A149" s="275"/>
      <c r="B149" s="275"/>
      <c r="C149" s="275"/>
      <c r="D149" s="275"/>
      <c r="E149" s="275"/>
      <c r="F149" s="275"/>
    </row>
    <row r="150" spans="1:6" ht="12.75">
      <c r="A150" s="275"/>
      <c r="B150" s="275"/>
      <c r="C150" s="275"/>
      <c r="D150" s="275"/>
      <c r="E150" s="275"/>
      <c r="F150" s="275"/>
    </row>
    <row r="151" spans="1:6" ht="12.75">
      <c r="A151" s="275"/>
      <c r="B151" s="275"/>
      <c r="C151" s="275"/>
      <c r="D151" s="275"/>
      <c r="E151" s="275"/>
      <c r="F151" s="275"/>
    </row>
    <row r="152" spans="1:6" ht="12.75">
      <c r="A152" s="275"/>
      <c r="B152" s="275"/>
      <c r="C152" s="275"/>
      <c r="D152" s="275"/>
      <c r="E152" s="275"/>
      <c r="F152" s="275"/>
    </row>
    <row r="153" spans="3:6" ht="12.75">
      <c r="C153" s="275"/>
      <c r="D153" s="275"/>
      <c r="E153" s="275"/>
      <c r="F153" s="275"/>
    </row>
    <row r="154" spans="3:6" ht="12.75">
      <c r="C154" s="275"/>
      <c r="D154" s="275"/>
      <c r="E154" s="275"/>
      <c r="F154" s="275"/>
    </row>
  </sheetData>
  <mergeCells count="17">
    <mergeCell ref="AO57:AP57"/>
    <mergeCell ref="AR57:AU57"/>
    <mergeCell ref="AY17:AZ17"/>
    <mergeCell ref="BB17:BD17"/>
    <mergeCell ref="AO29:AP29"/>
    <mergeCell ref="AR29:AU29"/>
    <mergeCell ref="AY31:AZ31"/>
    <mergeCell ref="BB31:BD31"/>
    <mergeCell ref="AY45:AZ45"/>
    <mergeCell ref="BB45:BD45"/>
    <mergeCell ref="C68:D68"/>
    <mergeCell ref="C71:E72"/>
    <mergeCell ref="AY59:AZ59"/>
    <mergeCell ref="BB59:BD59"/>
    <mergeCell ref="D65:D66"/>
    <mergeCell ref="E65:E66"/>
    <mergeCell ref="AL59:AN60"/>
  </mergeCells>
  <printOptions horizontalCentered="1"/>
  <pageMargins left="0.984251968503937" right="0.3937007874015748" top="0.1968503937007874" bottom="0.1968503937007874" header="0" footer="0"/>
  <pageSetup horizontalDpi="300" verticalDpi="300" orientation="portrait" pageOrder="overThenDown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H178"/>
  <sheetViews>
    <sheetView zoomScale="75" zoomScaleNormal="75" workbookViewId="0" topLeftCell="A59">
      <selection activeCell="P88" sqref="P88"/>
    </sheetView>
  </sheetViews>
  <sheetFormatPr defaultColWidth="8.75390625" defaultRowHeight="12.75"/>
  <cols>
    <col min="1" max="16384" width="9.125" style="0" customWidth="1"/>
  </cols>
  <sheetData>
    <row r="1" spans="2:60" ht="19.5" customHeight="1">
      <c r="B1" s="61"/>
      <c r="C1" s="61"/>
      <c r="F1" s="61"/>
      <c r="G1" s="61"/>
      <c r="H1" s="61"/>
      <c r="I1" s="63" t="s">
        <v>192</v>
      </c>
      <c r="J1" s="62">
        <f>E65</f>
        <v>3</v>
      </c>
      <c r="K1" s="63"/>
      <c r="N1" s="63"/>
      <c r="O1" s="63"/>
      <c r="P1" s="63"/>
      <c r="Q1" s="63"/>
      <c r="R1" s="63"/>
      <c r="S1" s="63" t="s">
        <v>191</v>
      </c>
      <c r="T1" s="62">
        <f>E65</f>
        <v>3</v>
      </c>
      <c r="U1" s="64"/>
      <c r="Y1" s="63"/>
      <c r="Z1" s="63"/>
      <c r="AA1" s="63"/>
      <c r="AB1" s="63"/>
      <c r="AC1" s="63" t="s">
        <v>191</v>
      </c>
      <c r="AD1" s="62">
        <f>E65</f>
        <v>3</v>
      </c>
      <c r="AH1" s="23"/>
      <c r="AI1" s="23"/>
      <c r="AJ1" s="23"/>
      <c r="AK1" s="23"/>
      <c r="AL1" s="23"/>
      <c r="AM1" s="63" t="s">
        <v>64</v>
      </c>
      <c r="AN1" s="62">
        <f>E65</f>
        <v>3</v>
      </c>
      <c r="AQ1" s="61"/>
      <c r="AR1" s="61"/>
      <c r="AS1" s="61"/>
      <c r="AT1" s="61"/>
      <c r="AU1" s="61"/>
      <c r="AV1" s="61"/>
      <c r="AW1" s="63" t="s">
        <v>193</v>
      </c>
      <c r="AX1" s="62">
        <f>E65</f>
        <v>3</v>
      </c>
      <c r="BA1" s="61"/>
      <c r="BB1" s="61"/>
      <c r="BC1" s="61"/>
      <c r="BD1" s="61"/>
      <c r="BE1" s="61"/>
      <c r="BF1" s="61"/>
      <c r="BG1" s="63" t="s">
        <v>193</v>
      </c>
      <c r="BH1" s="62">
        <f>E65</f>
        <v>3</v>
      </c>
    </row>
    <row r="2" spans="3:28" ht="15" customHeight="1">
      <c r="C2" s="61"/>
      <c r="D2" s="61"/>
      <c r="E2" s="61"/>
      <c r="F2" s="61"/>
      <c r="G2" s="61"/>
      <c r="H2" s="61"/>
      <c r="N2" s="62" t="s">
        <v>55</v>
      </c>
      <c r="O2" s="62"/>
      <c r="P2" s="62"/>
      <c r="Q2" s="62"/>
      <c r="R2" s="62"/>
      <c r="S2" s="265"/>
      <c r="T2" s="265"/>
      <c r="U2" s="265"/>
      <c r="V2" s="265"/>
      <c r="X2" s="62" t="s">
        <v>55</v>
      </c>
      <c r="Y2" s="62"/>
      <c r="Z2" s="62"/>
      <c r="AA2" s="62"/>
      <c r="AB2" s="62"/>
    </row>
    <row r="3" spans="1:59" ht="17.25" customHeight="1">
      <c r="A3" s="65" t="s">
        <v>61</v>
      </c>
      <c r="B3" s="66"/>
      <c r="C3" s="66"/>
      <c r="D3" s="66"/>
      <c r="E3" s="66"/>
      <c r="F3" s="66"/>
      <c r="G3" s="66"/>
      <c r="H3" s="66"/>
      <c r="I3" s="66"/>
      <c r="K3" s="67" t="s">
        <v>134</v>
      </c>
      <c r="L3" s="65"/>
      <c r="M3" s="65"/>
      <c r="N3" s="65"/>
      <c r="O3" s="65"/>
      <c r="P3" s="65"/>
      <c r="Q3" s="65"/>
      <c r="R3" s="65"/>
      <c r="S3" s="65"/>
      <c r="U3" s="65" t="s">
        <v>106</v>
      </c>
      <c r="W3" s="66"/>
      <c r="X3" s="66"/>
      <c r="Y3" s="66"/>
      <c r="Z3" s="66"/>
      <c r="AA3" s="66"/>
      <c r="AB3" s="66"/>
      <c r="AC3" s="66"/>
      <c r="AQ3" s="263" t="s">
        <v>194</v>
      </c>
      <c r="AR3" s="263"/>
      <c r="AS3" s="263"/>
      <c r="AT3" s="263"/>
      <c r="AU3" s="263"/>
      <c r="AV3" s="263"/>
      <c r="AW3" s="263"/>
      <c r="AX3" s="264"/>
      <c r="AY3" s="264"/>
      <c r="BA3" s="263" t="s">
        <v>194</v>
      </c>
      <c r="BB3" s="263"/>
      <c r="BC3" s="263"/>
      <c r="BD3" s="263"/>
      <c r="BE3" s="263"/>
      <c r="BF3" s="263"/>
      <c r="BG3" s="263"/>
    </row>
    <row r="4" spans="31:32" ht="12.75" customHeight="1">
      <c r="AE4" s="68" t="s">
        <v>107</v>
      </c>
      <c r="AF4" s="68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spans="51:52" ht="12.75" customHeight="1">
      <c r="AY15" s="47"/>
      <c r="AZ15" s="6"/>
    </row>
    <row r="16" spans="51:52" ht="12.75" customHeight="1">
      <c r="AY16" s="47"/>
      <c r="AZ16" s="6"/>
    </row>
    <row r="17" spans="51:57" ht="12.75" customHeight="1">
      <c r="AY17" s="437" t="s">
        <v>58</v>
      </c>
      <c r="AZ17" s="438"/>
      <c r="BA17" s="69">
        <f>J67</f>
        <v>99</v>
      </c>
      <c r="BB17" s="438" t="s">
        <v>105</v>
      </c>
      <c r="BC17" s="438"/>
      <c r="BD17" s="439"/>
      <c r="BE17" s="70">
        <f>J70</f>
        <v>87</v>
      </c>
    </row>
    <row r="18" ht="12.75" customHeight="1"/>
    <row r="19" ht="12.75" customHeight="1"/>
    <row r="20" ht="12.75" customHeight="1"/>
    <row r="21" ht="12.75" customHeight="1"/>
    <row r="22" spans="1:28" ht="14.25" customHeight="1">
      <c r="A22" s="65" t="s">
        <v>56</v>
      </c>
      <c r="C22" s="66"/>
      <c r="D22" s="66"/>
      <c r="E22" s="66"/>
      <c r="F22" s="66"/>
      <c r="G22" s="66"/>
      <c r="H22" s="66"/>
      <c r="I22" s="66"/>
      <c r="K22" s="65" t="s">
        <v>135</v>
      </c>
      <c r="M22" s="71"/>
      <c r="N22" s="71"/>
      <c r="O22" s="71"/>
      <c r="P22" s="71"/>
      <c r="Q22" s="71"/>
      <c r="R22" s="71"/>
      <c r="S22" s="71"/>
      <c r="U22" s="65" t="s">
        <v>57</v>
      </c>
      <c r="V22" s="65"/>
      <c r="W22" s="65"/>
      <c r="X22" s="65"/>
      <c r="Y22" s="65"/>
      <c r="Z22" s="65"/>
      <c r="AA22" s="65"/>
      <c r="AB22" s="65"/>
    </row>
    <row r="23" ht="12.75" customHeight="1"/>
    <row r="24" ht="12.75" customHeight="1"/>
    <row r="25" ht="12.75" customHeight="1"/>
    <row r="26" ht="12.75" customHeight="1"/>
    <row r="27" ht="12.75" customHeight="1"/>
    <row r="28" spans="51:52" ht="12.75" customHeight="1">
      <c r="AY28" s="47"/>
      <c r="AZ28" s="6"/>
    </row>
    <row r="29" spans="41:52" ht="12.75" customHeight="1">
      <c r="AO29" s="440" t="s">
        <v>58</v>
      </c>
      <c r="AP29" s="440"/>
      <c r="AQ29" s="71">
        <f>J67</f>
        <v>99</v>
      </c>
      <c r="AR29" s="441" t="s">
        <v>62</v>
      </c>
      <c r="AS29" s="441"/>
      <c r="AT29" s="404"/>
      <c r="AU29" s="404"/>
      <c r="AV29" s="71">
        <f>J70</f>
        <v>87</v>
      </c>
      <c r="AY29" s="47"/>
      <c r="AZ29" s="6"/>
    </row>
    <row r="30" spans="51:52" ht="12.75" customHeight="1">
      <c r="AY30" s="47"/>
      <c r="AZ30" s="6"/>
    </row>
    <row r="31" spans="51:57" ht="12.75" customHeight="1">
      <c r="AY31" s="437" t="s">
        <v>58</v>
      </c>
      <c r="AZ31" s="438"/>
      <c r="BA31" s="69">
        <f>I67</f>
        <v>79</v>
      </c>
      <c r="BB31" s="438" t="s">
        <v>105</v>
      </c>
      <c r="BC31" s="438"/>
      <c r="BD31" s="439"/>
      <c r="BE31" s="70">
        <f>I70</f>
        <v>90</v>
      </c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spans="1:28" ht="14.25" customHeight="1">
      <c r="A41" s="73" t="s">
        <v>108</v>
      </c>
      <c r="C41" s="71"/>
      <c r="D41" s="71"/>
      <c r="E41" s="71"/>
      <c r="F41" s="71"/>
      <c r="G41" s="71"/>
      <c r="H41" s="71"/>
      <c r="I41" s="71"/>
      <c r="K41" s="65" t="s">
        <v>109</v>
      </c>
      <c r="M41" s="71"/>
      <c r="N41" s="71"/>
      <c r="O41" s="71"/>
      <c r="P41" s="71"/>
      <c r="Q41" s="71"/>
      <c r="R41" s="71"/>
      <c r="S41" s="71"/>
      <c r="U41" s="73" t="s">
        <v>104</v>
      </c>
      <c r="V41" s="65"/>
      <c r="W41" s="65"/>
      <c r="X41" s="65"/>
      <c r="Y41" s="65"/>
      <c r="Z41" s="65"/>
      <c r="AA41" s="65"/>
      <c r="AB41" s="65"/>
    </row>
    <row r="42" ht="12.75" customHeight="1"/>
    <row r="43" spans="51:52" ht="12.75" customHeight="1">
      <c r="AY43" s="47"/>
      <c r="AZ43" s="6"/>
    </row>
    <row r="44" spans="51:52" ht="12.75" customHeight="1">
      <c r="AY44" s="47"/>
      <c r="AZ44" s="6"/>
    </row>
    <row r="45" spans="51:57" ht="12.75" customHeight="1">
      <c r="AY45" s="437" t="s">
        <v>58</v>
      </c>
      <c r="AZ45" s="438"/>
      <c r="BA45" s="69">
        <f>H67</f>
        <v>50</v>
      </c>
      <c r="BB45" s="438" t="s">
        <v>105</v>
      </c>
      <c r="BC45" s="438"/>
      <c r="BD45" s="439"/>
      <c r="BE45" s="70">
        <f>H70</f>
        <v>92</v>
      </c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spans="41:52" ht="12.75" customHeight="1">
      <c r="AO57" s="448" t="s">
        <v>58</v>
      </c>
      <c r="AP57" s="448"/>
      <c r="AQ57" s="71">
        <f>G67</f>
        <v>20</v>
      </c>
      <c r="AR57" s="441" t="s">
        <v>62</v>
      </c>
      <c r="AS57" s="441"/>
      <c r="AT57" s="404"/>
      <c r="AU57" s="404"/>
      <c r="AV57" s="71">
        <f>G70</f>
        <v>95</v>
      </c>
      <c r="AY57" s="47"/>
      <c r="AZ57" s="6"/>
    </row>
    <row r="58" spans="51:52" ht="12.75" customHeight="1">
      <c r="AY58" s="47"/>
      <c r="AZ58" s="6"/>
    </row>
    <row r="59" spans="38:57" ht="12.75" customHeight="1">
      <c r="AL59" s="449" t="s">
        <v>63</v>
      </c>
      <c r="AM59" s="450"/>
      <c r="AN59" s="450"/>
      <c r="AY59" s="437" t="s">
        <v>58</v>
      </c>
      <c r="AZ59" s="438"/>
      <c r="BA59" s="69">
        <f>G67</f>
        <v>20</v>
      </c>
      <c r="BB59" s="438" t="s">
        <v>105</v>
      </c>
      <c r="BC59" s="438"/>
      <c r="BD59" s="439"/>
      <c r="BE59" s="70">
        <f>G70</f>
        <v>95</v>
      </c>
    </row>
    <row r="60" spans="38:40" ht="12.75" customHeight="1">
      <c r="AL60" s="450"/>
      <c r="AM60" s="450"/>
      <c r="AN60" s="450"/>
    </row>
    <row r="61" spans="31:39" ht="12.75" customHeight="1">
      <c r="AE61" s="72"/>
      <c r="AF61" s="72"/>
      <c r="AG61" s="37"/>
      <c r="AH61" s="72"/>
      <c r="AI61" s="72"/>
      <c r="AJ61" s="4"/>
      <c r="AL61" s="66"/>
      <c r="AM61" s="66"/>
    </row>
    <row r="62" ht="12.75" customHeight="1"/>
    <row r="64" ht="12.75" customHeight="1" thickBot="1"/>
    <row r="65" spans="1:50" ht="12.75" customHeight="1" thickBot="1" thickTop="1">
      <c r="A65" s="74" t="s">
        <v>79</v>
      </c>
      <c r="B65" s="75">
        <f>2*0.86</f>
        <v>1.72</v>
      </c>
      <c r="C65" s="76"/>
      <c r="D65" s="451" t="s">
        <v>75</v>
      </c>
      <c r="E65" s="453">
        <v>3</v>
      </c>
      <c r="F65" s="76"/>
      <c r="G65" s="76"/>
      <c r="H65" s="77"/>
      <c r="I65" s="77"/>
      <c r="J65" s="77"/>
      <c r="K65" s="78"/>
      <c r="L65" s="76"/>
      <c r="M65" s="76"/>
      <c r="N65" s="76"/>
      <c r="O65" s="76"/>
      <c r="P65" s="76"/>
      <c r="Q65" s="76"/>
      <c r="R65" s="76"/>
      <c r="S65" s="76"/>
      <c r="T65" s="76"/>
      <c r="AU65" s="79">
        <f>G79</f>
        <v>9.03</v>
      </c>
      <c r="AV65" s="80">
        <f>G79</f>
        <v>9.03</v>
      </c>
      <c r="AW65" s="81">
        <v>11.8</v>
      </c>
      <c r="AX65" s="82">
        <v>0</v>
      </c>
    </row>
    <row r="66" spans="1:50" ht="13.5" thickBot="1">
      <c r="A66" s="74" t="s">
        <v>80</v>
      </c>
      <c r="B66" s="75">
        <v>0.3</v>
      </c>
      <c r="C66" s="284">
        <f>5568*10^(-6)*100/B65</f>
        <v>0.3237209302325581</v>
      </c>
      <c r="D66" s="452"/>
      <c r="E66" s="452"/>
      <c r="F66" s="83"/>
      <c r="G66" s="84" t="s">
        <v>59</v>
      </c>
      <c r="H66" s="84" t="s">
        <v>60</v>
      </c>
      <c r="I66" s="84" t="s">
        <v>69</v>
      </c>
      <c r="J66" s="84" t="s">
        <v>68</v>
      </c>
      <c r="K66" s="78"/>
      <c r="L66" s="76"/>
      <c r="M66" s="76"/>
      <c r="N66" s="76"/>
      <c r="O66" s="76"/>
      <c r="P66" s="76"/>
      <c r="Q66" s="76"/>
      <c r="R66" s="76"/>
      <c r="S66" s="76"/>
      <c r="T66" s="76"/>
      <c r="AU66" s="85">
        <f>G78</f>
        <v>4.9</v>
      </c>
      <c r="AV66" s="86">
        <v>0</v>
      </c>
      <c r="AW66" s="87">
        <v>0</v>
      </c>
      <c r="AX66" s="88">
        <v>21</v>
      </c>
    </row>
    <row r="67" spans="1:50" ht="13.5" thickBot="1">
      <c r="A67" s="74" t="s">
        <v>333</v>
      </c>
      <c r="B67" s="75">
        <v>92</v>
      </c>
      <c r="C67" s="76"/>
      <c r="D67" s="76"/>
      <c r="E67" s="76"/>
      <c r="F67" s="89" t="s">
        <v>70</v>
      </c>
      <c r="G67" s="90">
        <f>ROUND((G68/B65*100),0)</f>
        <v>20</v>
      </c>
      <c r="H67" s="90">
        <f>ROUND((H68/B65*100),0)</f>
        <v>50</v>
      </c>
      <c r="I67" s="90">
        <f>ROUND((I68/B65*100),0)</f>
        <v>79</v>
      </c>
      <c r="J67" s="90">
        <f>ROUND((J68/B65*100),0)</f>
        <v>99</v>
      </c>
      <c r="K67" s="78"/>
      <c r="L67" s="76"/>
      <c r="M67" s="76"/>
      <c r="N67" s="76"/>
      <c r="O67" s="91"/>
      <c r="P67" s="91"/>
      <c r="Q67" s="91"/>
      <c r="R67" s="76"/>
      <c r="S67" s="76"/>
      <c r="T67" s="76"/>
      <c r="AU67" s="85">
        <f>G78*0.999</f>
        <v>4.8951</v>
      </c>
      <c r="AV67" s="86">
        <f>G78</f>
        <v>4.9</v>
      </c>
      <c r="AW67" s="92"/>
      <c r="AX67" s="91"/>
    </row>
    <row r="68" spans="1:50" ht="14.25" thickBot="1" thickTop="1">
      <c r="A68" s="74" t="s">
        <v>65</v>
      </c>
      <c r="B68" s="75">
        <v>8115</v>
      </c>
      <c r="C68" s="454"/>
      <c r="D68" s="455"/>
      <c r="E68" s="76"/>
      <c r="F68" s="93" t="s">
        <v>85</v>
      </c>
      <c r="G68" s="94">
        <f>ROUND(B84*(100-G81-G83-G84),3)</f>
        <v>0.35</v>
      </c>
      <c r="H68" s="94">
        <f>ROUND(C84*(100-H81-H83-H84),3)</f>
        <v>0.855</v>
      </c>
      <c r="I68" s="94">
        <f>ROUND(D84*(100-I81-I83-I84),3)</f>
        <v>1.358</v>
      </c>
      <c r="J68" s="94">
        <f>ROUND(E84*(100-J81-J83-J84),3)</f>
        <v>1.702</v>
      </c>
      <c r="K68" s="78"/>
      <c r="L68" s="76"/>
      <c r="M68" s="76"/>
      <c r="N68" s="76"/>
      <c r="O68" s="91"/>
      <c r="P68" s="95" t="s">
        <v>76</v>
      </c>
      <c r="Q68" s="96">
        <f>ROUND((G69*$B68*Q83*10^-8),5)</f>
        <v>0.35052</v>
      </c>
      <c r="R68" s="96">
        <f>ROUND((H69*$B68*R83*10^-8),5)</f>
        <v>0.85563</v>
      </c>
      <c r="S68" s="96">
        <f>ROUND((I69*$B68*S83*10^-8),5)</f>
        <v>1.35913</v>
      </c>
      <c r="T68" s="96">
        <f>ROUND((J69*$B68*T83*10^-8),5)</f>
        <v>1.70398</v>
      </c>
      <c r="AU68" s="97">
        <f>G79</f>
        <v>9.03</v>
      </c>
      <c r="AV68" s="98">
        <v>0</v>
      </c>
      <c r="AW68" s="91"/>
      <c r="AX68" s="91"/>
    </row>
    <row r="69" spans="1:50" ht="13.5" thickBot="1">
      <c r="A69" s="76"/>
      <c r="B69" s="76"/>
      <c r="C69" s="99"/>
      <c r="D69" s="20"/>
      <c r="E69" s="20"/>
      <c r="F69" s="74" t="s">
        <v>51</v>
      </c>
      <c r="G69" s="100">
        <v>46</v>
      </c>
      <c r="H69" s="100">
        <v>113.5</v>
      </c>
      <c r="I69" s="100">
        <v>183</v>
      </c>
      <c r="J69" s="101">
        <f>B75</f>
        <v>232</v>
      </c>
      <c r="K69" s="78"/>
      <c r="L69" s="76"/>
      <c r="M69" s="76"/>
      <c r="N69" s="76"/>
      <c r="O69" s="91"/>
      <c r="P69" s="91"/>
      <c r="Q69" s="102"/>
      <c r="R69" s="103"/>
      <c r="S69" s="103"/>
      <c r="T69" s="103"/>
      <c r="AU69" s="104">
        <f>H79</f>
        <v>9.54</v>
      </c>
      <c r="AV69" s="105">
        <f>H79</f>
        <v>9.54</v>
      </c>
      <c r="AW69" s="91"/>
      <c r="AX69" s="91"/>
    </row>
    <row r="70" spans="1:50" ht="13.5" thickBot="1">
      <c r="A70" s="84" t="s">
        <v>334</v>
      </c>
      <c r="B70" s="384">
        <f>ROUND(B65*10^8/(B67*B68),1)</f>
        <v>230.4</v>
      </c>
      <c r="C70" s="20"/>
      <c r="D70" s="20"/>
      <c r="E70" s="20"/>
      <c r="F70" s="74" t="s">
        <v>52</v>
      </c>
      <c r="G70" s="100">
        <v>95</v>
      </c>
      <c r="H70" s="100">
        <v>92</v>
      </c>
      <c r="I70" s="100">
        <v>90</v>
      </c>
      <c r="J70" s="100">
        <v>87</v>
      </c>
      <c r="K70" s="78"/>
      <c r="L70" s="76"/>
      <c r="M70" s="76"/>
      <c r="N70" s="76"/>
      <c r="O70" s="106"/>
      <c r="P70" s="106"/>
      <c r="Q70" s="102"/>
      <c r="R70" s="103"/>
      <c r="S70" s="103"/>
      <c r="T70" s="103"/>
      <c r="AU70" s="104">
        <f>H78</f>
        <v>4</v>
      </c>
      <c r="AV70" s="105">
        <v>0</v>
      </c>
      <c r="AW70" s="91"/>
      <c r="AX70" s="106"/>
    </row>
    <row r="71" spans="1:50" ht="13.5" thickBot="1">
      <c r="A71" s="76"/>
      <c r="B71" s="76"/>
      <c r="C71" s="442" t="s">
        <v>74</v>
      </c>
      <c r="D71" s="443"/>
      <c r="E71" s="444"/>
      <c r="F71" s="74" t="s">
        <v>53</v>
      </c>
      <c r="G71" s="100"/>
      <c r="H71" s="100"/>
      <c r="I71" s="100"/>
      <c r="J71" s="100"/>
      <c r="K71" s="78"/>
      <c r="L71" s="76"/>
      <c r="M71" s="76"/>
      <c r="N71" s="76"/>
      <c r="O71" s="107"/>
      <c r="P71" s="107"/>
      <c r="Q71" s="102"/>
      <c r="R71" s="103"/>
      <c r="S71" s="103"/>
      <c r="T71" s="103"/>
      <c r="AU71" s="104">
        <f>H78*0.999</f>
        <v>3.996</v>
      </c>
      <c r="AV71" s="105">
        <f>H78</f>
        <v>4</v>
      </c>
      <c r="AW71" s="91"/>
      <c r="AX71" s="107"/>
    </row>
    <row r="72" spans="1:50" ht="13.5" thickBot="1">
      <c r="A72" s="76"/>
      <c r="B72" s="76"/>
      <c r="C72" s="445"/>
      <c r="D72" s="446"/>
      <c r="E72" s="447"/>
      <c r="F72" s="109" t="s">
        <v>54</v>
      </c>
      <c r="G72" s="110"/>
      <c r="H72" s="110"/>
      <c r="I72" s="110"/>
      <c r="J72" s="110"/>
      <c r="K72" s="78"/>
      <c r="L72" s="76"/>
      <c r="M72" s="76"/>
      <c r="N72" s="76"/>
      <c r="O72" s="106"/>
      <c r="P72" s="106"/>
      <c r="Q72" s="102"/>
      <c r="R72" s="103"/>
      <c r="S72" s="103"/>
      <c r="T72" s="103"/>
      <c r="AU72" s="111">
        <f>H79</f>
        <v>9.54</v>
      </c>
      <c r="AV72" s="112">
        <v>0</v>
      </c>
      <c r="AW72" s="91"/>
      <c r="AX72" s="106"/>
    </row>
    <row r="73" spans="1:50" ht="13.5" thickBot="1">
      <c r="A73" s="76"/>
      <c r="B73" s="76"/>
      <c r="C73" s="76"/>
      <c r="D73" s="76"/>
      <c r="E73" s="76"/>
      <c r="F73" s="76"/>
      <c r="G73" s="113">
        <f>Q74</f>
        <v>118</v>
      </c>
      <c r="H73" s="113">
        <f>R74</f>
        <v>151</v>
      </c>
      <c r="I73" s="113">
        <f>S74</f>
        <v>184</v>
      </c>
      <c r="J73" s="113">
        <f>T74</f>
        <v>208</v>
      </c>
      <c r="K73" s="76"/>
      <c r="L73" s="76"/>
      <c r="M73" s="76"/>
      <c r="N73" s="76"/>
      <c r="O73" s="76"/>
      <c r="P73" s="76"/>
      <c r="Q73" s="76"/>
      <c r="R73" s="76"/>
      <c r="S73" s="76"/>
      <c r="T73" s="76"/>
      <c r="AU73" s="114">
        <f>I79</f>
        <v>9.71</v>
      </c>
      <c r="AV73" s="115">
        <f>I79</f>
        <v>9.71</v>
      </c>
      <c r="AW73" s="91"/>
      <c r="AX73" s="106"/>
    </row>
    <row r="74" spans="1:50" ht="13.5" thickBot="1">
      <c r="A74" s="74" t="s">
        <v>67</v>
      </c>
      <c r="B74" s="75">
        <v>15</v>
      </c>
      <c r="C74" s="76"/>
      <c r="D74" s="76"/>
      <c r="E74" s="76"/>
      <c r="F74" s="74" t="s">
        <v>86</v>
      </c>
      <c r="G74" s="100"/>
      <c r="H74" s="100"/>
      <c r="I74" s="100"/>
      <c r="J74" s="100"/>
      <c r="K74" s="78"/>
      <c r="L74" s="76"/>
      <c r="M74" s="76"/>
      <c r="N74" s="76"/>
      <c r="O74" s="106"/>
      <c r="P74" s="116" t="s">
        <v>86</v>
      </c>
      <c r="Q74" s="117">
        <f>ROUND(Q81/(0.01*L82)+0.85*$B74,0)</f>
        <v>118</v>
      </c>
      <c r="R74" s="117">
        <f>ROUND(R81/(0.01*M82)+0.85*$B74,0)</f>
        <v>151</v>
      </c>
      <c r="S74" s="117">
        <f>ROUND(S81/(0.01*N82)+0.85*$B74,0)</f>
        <v>184</v>
      </c>
      <c r="T74" s="117">
        <f>ROUND(T81/(0.01*O82)+0.85*$B74,0)</f>
        <v>208</v>
      </c>
      <c r="AU74" s="114">
        <f>I78</f>
        <v>3.7</v>
      </c>
      <c r="AV74" s="115">
        <v>0</v>
      </c>
      <c r="AW74" s="78"/>
      <c r="AX74" s="78"/>
    </row>
    <row r="75" spans="1:50" ht="13.5" thickBot="1">
      <c r="A75" s="74" t="s">
        <v>66</v>
      </c>
      <c r="B75" s="75">
        <v>232</v>
      </c>
      <c r="C75" s="76"/>
      <c r="D75" s="76"/>
      <c r="E75" s="76"/>
      <c r="F75" s="84" t="s">
        <v>86</v>
      </c>
      <c r="G75" s="118">
        <f>IF(G74=0,Q74,G74)</f>
        <v>118</v>
      </c>
      <c r="H75" s="118">
        <f>IF(H74=0,R74,H74)</f>
        <v>151</v>
      </c>
      <c r="I75" s="118">
        <f>IF(I74=0,S74,I74)</f>
        <v>184</v>
      </c>
      <c r="J75" s="118">
        <f>IF(J74=0,T74,J74)</f>
        <v>208</v>
      </c>
      <c r="K75" s="78"/>
      <c r="L75" s="76"/>
      <c r="M75" s="76"/>
      <c r="N75" s="76"/>
      <c r="O75" s="78"/>
      <c r="P75" s="76"/>
      <c r="Q75" s="76"/>
      <c r="R75" s="76"/>
      <c r="S75" s="78"/>
      <c r="T75" s="76"/>
      <c r="AU75" s="114">
        <f>I78*0.999</f>
        <v>3.6963000000000004</v>
      </c>
      <c r="AV75" s="115">
        <f>I78</f>
        <v>3.7</v>
      </c>
      <c r="AW75" s="78"/>
      <c r="AX75" s="91"/>
    </row>
    <row r="76" spans="1:50" ht="13.5" thickBot="1">
      <c r="A76" s="108" t="s">
        <v>72</v>
      </c>
      <c r="B76" s="75">
        <v>55</v>
      </c>
      <c r="C76" s="76"/>
      <c r="D76" s="76"/>
      <c r="E76" s="76"/>
      <c r="F76" s="76"/>
      <c r="G76" s="113">
        <f>ROUND(Q77,1)</f>
        <v>4.6</v>
      </c>
      <c r="H76" s="113">
        <f>ROUND(R77,1)</f>
        <v>4</v>
      </c>
      <c r="I76" s="113">
        <f>ROUND(S77,1)</f>
        <v>3.7</v>
      </c>
      <c r="J76" s="113">
        <f>ROUND(T77,1)</f>
        <v>3.5</v>
      </c>
      <c r="K76" s="76"/>
      <c r="L76" s="76"/>
      <c r="M76" s="76"/>
      <c r="N76" s="76"/>
      <c r="O76" s="76"/>
      <c r="P76" s="76"/>
      <c r="Q76" s="76"/>
      <c r="R76" s="76"/>
      <c r="S76" s="76"/>
      <c r="T76" s="76"/>
      <c r="AU76" s="120">
        <f>I79</f>
        <v>9.71</v>
      </c>
      <c r="AV76" s="121">
        <v>0</v>
      </c>
      <c r="AW76" s="76"/>
      <c r="AX76" s="76"/>
    </row>
    <row r="77" spans="1:50" ht="13.5" thickBot="1">
      <c r="A77" s="76"/>
      <c r="B77" s="76"/>
      <c r="C77" s="76"/>
      <c r="D77" s="76"/>
      <c r="E77" s="76"/>
      <c r="F77" s="74" t="s">
        <v>87</v>
      </c>
      <c r="G77" s="100">
        <v>4.9</v>
      </c>
      <c r="H77" s="100"/>
      <c r="I77" s="100"/>
      <c r="J77" s="100"/>
      <c r="K77" s="76"/>
      <c r="L77" s="76"/>
      <c r="M77" s="76"/>
      <c r="N77" s="76"/>
      <c r="O77" s="102"/>
      <c r="P77" s="116" t="s">
        <v>98</v>
      </c>
      <c r="Q77" s="117">
        <f>ROUND(((21*Q80-21)/(Q80-0.1)),4)</f>
        <v>4.6392</v>
      </c>
      <c r="R77" s="117">
        <f>ROUND(((21*R80-21)/(R80-0.1)),4)</f>
        <v>3.9699</v>
      </c>
      <c r="S77" s="117">
        <f>ROUND(((21*S80-21)/(S80-0.1)),4)</f>
        <v>3.6828</v>
      </c>
      <c r="T77" s="117">
        <f>ROUND(((21*T80-21)/(T80-0.1)),4)</f>
        <v>3.5</v>
      </c>
      <c r="AU77" s="122">
        <f>J79</f>
        <v>9.82</v>
      </c>
      <c r="AV77" s="123">
        <f>J79</f>
        <v>9.82</v>
      </c>
      <c r="AW77" s="76"/>
      <c r="AX77" s="76"/>
    </row>
    <row r="78" spans="1:50" ht="13.5" thickBot="1">
      <c r="A78" s="76"/>
      <c r="B78" s="76"/>
      <c r="C78" s="76"/>
      <c r="D78" s="76"/>
      <c r="E78" s="76"/>
      <c r="F78" s="84" t="s">
        <v>87</v>
      </c>
      <c r="G78" s="118">
        <f>IF(G77&gt;0,G77,ROUND(Q77,1))</f>
        <v>4.9</v>
      </c>
      <c r="H78" s="118">
        <f>IF(H77&gt;0,H77,ROUND(R77,1))</f>
        <v>4</v>
      </c>
      <c r="I78" s="118">
        <f>IF(I77&gt;0,I77,ROUND(S77,1))</f>
        <v>3.7</v>
      </c>
      <c r="J78" s="118">
        <f>IF(J77&gt;0,J77,ROUND(T77,1))</f>
        <v>3.5</v>
      </c>
      <c r="K78" s="76"/>
      <c r="L78" s="76"/>
      <c r="M78" s="76"/>
      <c r="N78" s="76"/>
      <c r="O78" s="76"/>
      <c r="P78" s="76"/>
      <c r="Q78" s="76"/>
      <c r="R78" s="76"/>
      <c r="S78" s="76"/>
      <c r="T78" s="76"/>
      <c r="AU78" s="122">
        <f>J78</f>
        <v>3.5</v>
      </c>
      <c r="AV78" s="123">
        <v>0</v>
      </c>
      <c r="AW78" s="76"/>
      <c r="AX78" s="76"/>
    </row>
    <row r="79" spans="1:50" ht="13.5" thickBot="1">
      <c r="A79" s="74" t="s">
        <v>81</v>
      </c>
      <c r="B79" s="75">
        <v>1.18</v>
      </c>
      <c r="C79" s="76"/>
      <c r="D79" s="76"/>
      <c r="E79" s="76"/>
      <c r="F79" s="84" t="s">
        <v>88</v>
      </c>
      <c r="G79" s="118">
        <f>ROUND((11.8-0.5646*G78),2)</f>
        <v>9.03</v>
      </c>
      <c r="H79" s="118">
        <f>ROUND((11.8-0.5646*H78),2)</f>
        <v>9.54</v>
      </c>
      <c r="I79" s="118">
        <f>ROUND((11.8-0.5646*I78),2)</f>
        <v>9.71</v>
      </c>
      <c r="J79" s="118">
        <f>ROUND((11.8-0.5646*J78),2)</f>
        <v>9.82</v>
      </c>
      <c r="K79" s="76"/>
      <c r="L79" s="76"/>
      <c r="M79" s="76"/>
      <c r="N79" s="76"/>
      <c r="O79" s="76"/>
      <c r="P79" s="116" t="s">
        <v>99</v>
      </c>
      <c r="Q79" s="117">
        <f>ROUND((11.8-0.5646*Q77),4)</f>
        <v>9.1807</v>
      </c>
      <c r="R79" s="117">
        <f>ROUND((11.8-0.5646*R77),4)</f>
        <v>9.5586</v>
      </c>
      <c r="S79" s="117">
        <f>ROUND((11.8-0.5646*S77),4)</f>
        <v>9.7207</v>
      </c>
      <c r="T79" s="117">
        <f>ROUND((11.8-0.5646*T77),4)</f>
        <v>9.8239</v>
      </c>
      <c r="AU79" s="122">
        <f>J78*0.999</f>
        <v>3.4965</v>
      </c>
      <c r="AV79" s="123">
        <f>J78</f>
        <v>3.5</v>
      </c>
      <c r="AW79" s="76"/>
      <c r="AX79" s="76"/>
    </row>
    <row r="80" spans="1:50" ht="13.5" thickBot="1">
      <c r="A80" s="119" t="s">
        <v>82</v>
      </c>
      <c r="B80" s="75">
        <v>0.05</v>
      </c>
      <c r="C80" s="103" t="s">
        <v>77</v>
      </c>
      <c r="D80" s="76"/>
      <c r="E80" s="76"/>
      <c r="F80" s="129" t="s">
        <v>89</v>
      </c>
      <c r="G80" s="101">
        <f>ROUND(((21-0.1*G78)/(21-G78)),2)</f>
        <v>1.27</v>
      </c>
      <c r="H80" s="101">
        <f>ROUND(((21-0.1*H78)/(21-H78)),2)</f>
        <v>1.21</v>
      </c>
      <c r="I80" s="101">
        <f>ROUND(((21-0.1*I78)/(21-I78)),2)</f>
        <v>1.19</v>
      </c>
      <c r="J80" s="101">
        <f>ROUND(((21-0.1*J78)/(21-J78)),2)</f>
        <v>1.18</v>
      </c>
      <c r="K80" s="76"/>
      <c r="L80" s="76"/>
      <c r="M80" s="76"/>
      <c r="N80" s="76"/>
      <c r="O80" s="76"/>
      <c r="P80" s="116" t="s">
        <v>100</v>
      </c>
      <c r="Q80" s="117">
        <f>ROUND(((T80-1)*B80*(B75/G69)+R80),4)</f>
        <v>1.2552</v>
      </c>
      <c r="R80" s="117">
        <f>ROUND(((T80-1)*B80*(B75/H69)+S80),4)</f>
        <v>1.2098</v>
      </c>
      <c r="S80" s="117">
        <f>ROUND(((T80-1)*B80*(B75/I69)+T80),4)</f>
        <v>1.1914</v>
      </c>
      <c r="T80" s="117">
        <f>B79</f>
        <v>1.18</v>
      </c>
      <c r="AU80" s="130">
        <f>J79</f>
        <v>9.82</v>
      </c>
      <c r="AV80" s="131">
        <v>0</v>
      </c>
      <c r="AW80" s="76"/>
      <c r="AX80" s="76"/>
    </row>
    <row r="81" spans="1:20" ht="13.5" thickBot="1">
      <c r="A81" s="74" t="s">
        <v>83</v>
      </c>
      <c r="B81" s="75">
        <v>93.9</v>
      </c>
      <c r="C81" s="76"/>
      <c r="D81" s="76"/>
      <c r="E81" s="76"/>
      <c r="F81" s="84" t="s">
        <v>90</v>
      </c>
      <c r="G81" s="118">
        <f>ROUND(0.01*B86*(G75-0.85*B74),2)</f>
        <v>5.3</v>
      </c>
      <c r="H81" s="118">
        <f>ROUND(0.01*C86*(H75-0.85*B74),2)</f>
        <v>6.69</v>
      </c>
      <c r="I81" s="118">
        <f>ROUND(0.01*D86*(I75-0.85*B74),2)</f>
        <v>8.2</v>
      </c>
      <c r="J81" s="118">
        <f>ROUND(0.01*E86*(J75-0.85*B74),2)</f>
        <v>9.29</v>
      </c>
      <c r="K81" s="76"/>
      <c r="L81" s="76"/>
      <c r="M81" s="76"/>
      <c r="N81" s="76"/>
      <c r="O81" s="76"/>
      <c r="P81" s="116" t="s">
        <v>101</v>
      </c>
      <c r="Q81" s="117">
        <f>ROUND((100-Q83-Q82),4)</f>
        <v>5.1987</v>
      </c>
      <c r="R81" s="117">
        <f>$Q81*(($B82-1)*H69/$G69+2-$B82)</f>
        <v>6.648120163043476</v>
      </c>
      <c r="S81" s="117">
        <f>$Q81*(($B82-1)*I69/$G69+2-$B82)</f>
        <v>8.140486108695649</v>
      </c>
      <c r="T81" s="117">
        <f>$Q81*(($B82-1)*J69/$G69+2-$B82)</f>
        <v>9.192657782608695</v>
      </c>
    </row>
    <row r="82" spans="1:20" ht="13.5" thickBot="1">
      <c r="A82" s="119" t="s">
        <v>84</v>
      </c>
      <c r="B82" s="75">
        <v>1.19</v>
      </c>
      <c r="C82" s="103" t="s">
        <v>73</v>
      </c>
      <c r="D82" s="76"/>
      <c r="E82" s="76"/>
      <c r="F82" s="74" t="s">
        <v>133</v>
      </c>
      <c r="G82" s="100"/>
      <c r="H82" s="100"/>
      <c r="I82" s="100"/>
      <c r="J82" s="100"/>
      <c r="K82" s="116" t="s">
        <v>97</v>
      </c>
      <c r="L82" s="117">
        <f>ROUND((Q79^-0.8048*29.557),4)</f>
        <v>4.9629</v>
      </c>
      <c r="M82" s="117">
        <f>ROUND((R79^-0.8048*29.557),4)</f>
        <v>4.8044</v>
      </c>
      <c r="N82" s="117">
        <f>ROUND((S79^-0.8048*29.557),4)</f>
        <v>4.7398</v>
      </c>
      <c r="O82" s="117">
        <f>ROUND((T79^-0.8048*29.557),4)</f>
        <v>4.6997</v>
      </c>
      <c r="P82" s="127" t="s">
        <v>102</v>
      </c>
      <c r="Q82" s="117">
        <f>ROUND(($B66*(0.5+$B70/(2*G69))),4)</f>
        <v>0.9013</v>
      </c>
      <c r="R82" s="117">
        <f>ROUND(($B66*(0.5+$B70/(2*H69))),4)</f>
        <v>0.4545</v>
      </c>
      <c r="S82" s="117">
        <f>ROUND(($B66*(0.5+$B70/(2*I69))),4)</f>
        <v>0.3389</v>
      </c>
      <c r="T82" s="117">
        <f>ROUND(($B66*(0.5+$B70/(2*J69))),4)</f>
        <v>0.299</v>
      </c>
    </row>
    <row r="83" spans="1:20" ht="13.5" thickBot="1">
      <c r="A83" s="124"/>
      <c r="B83" s="125"/>
      <c r="C83" s="126"/>
      <c r="D83" s="126"/>
      <c r="E83" s="76"/>
      <c r="F83" s="84" t="s">
        <v>132</v>
      </c>
      <c r="G83" s="118">
        <f>ROUND((126.5*G82*10^(-4)*11.8*100/(4200*(G79+G82*10^(-4)))),1)</f>
        <v>0</v>
      </c>
      <c r="H83" s="118">
        <f>ROUND((126.5*H82*10^(-4)*11.8*100/(4200*(H79+H82*10^(-4)))),1)</f>
        <v>0</v>
      </c>
      <c r="I83" s="118">
        <f>ROUND((126.5*I82*10^(-4)*11.8*100/(4200*(I79+I82*10^(-4)))),1)</f>
        <v>0</v>
      </c>
      <c r="J83" s="118">
        <f>ROUND((126.5*J82*10^(-4)*11.8*100/(4200*(J79+J82*10^(-4)))),1)</f>
        <v>0</v>
      </c>
      <c r="K83" s="76"/>
      <c r="L83" s="78"/>
      <c r="M83" s="76"/>
      <c r="N83" s="76"/>
      <c r="O83" s="76"/>
      <c r="P83" s="116" t="s">
        <v>103</v>
      </c>
      <c r="Q83" s="117">
        <f>B81</f>
        <v>93.9</v>
      </c>
      <c r="R83" s="117">
        <f>ROUND(100-R81-R82,3)</f>
        <v>92.897</v>
      </c>
      <c r="S83" s="117">
        <f>ROUND(100-S81-S82,3)</f>
        <v>91.521</v>
      </c>
      <c r="T83" s="117">
        <f>ROUND(100-T81-T82,3)</f>
        <v>90.508</v>
      </c>
    </row>
    <row r="84" spans="1:20" ht="13.5" thickBot="1">
      <c r="A84" s="127" t="s">
        <v>71</v>
      </c>
      <c r="B84" s="128">
        <f>ROUND((G69*B68*10^-8),7)</f>
        <v>0.0037329</v>
      </c>
      <c r="C84" s="128">
        <f>ROUND((H69*B68*10^-8),7)</f>
        <v>0.0092105</v>
      </c>
      <c r="D84" s="128">
        <f>ROUND((I69*B68*10^-8),7)</f>
        <v>0.0148505</v>
      </c>
      <c r="E84" s="128">
        <f>ROUND((J69*B68*10^-8),7)</f>
        <v>0.0188268</v>
      </c>
      <c r="F84" s="134" t="s">
        <v>91</v>
      </c>
      <c r="G84" s="134">
        <f>ROUND(($B66*(0.5+$B70/(2*G69))),2)</f>
        <v>0.9</v>
      </c>
      <c r="H84" s="134">
        <f>ROUND(($B66*(0.5+$B70/(2*H69))),2)</f>
        <v>0.45</v>
      </c>
      <c r="I84" s="134">
        <f>ROUND(($B66*(0.5+$B70/(2*I69))),2)</f>
        <v>0.34</v>
      </c>
      <c r="J84" s="134">
        <f>ROUND(($B66*(0.5+$B70/(2*J69))),2)</f>
        <v>0.3</v>
      </c>
      <c r="K84" s="76"/>
      <c r="L84" s="76"/>
      <c r="M84" s="76"/>
      <c r="N84" s="76"/>
      <c r="O84" s="76"/>
      <c r="P84" s="76"/>
      <c r="Q84" s="76"/>
      <c r="R84" s="76"/>
      <c r="S84" s="76"/>
      <c r="T84" s="76"/>
    </row>
    <row r="85" spans="1:20" ht="14.25" thickBot="1" thickTop="1">
      <c r="A85" s="132"/>
      <c r="B85" s="133"/>
      <c r="C85" s="133"/>
      <c r="D85" s="133"/>
      <c r="E85" s="133"/>
      <c r="F85" s="93" t="s">
        <v>92</v>
      </c>
      <c r="G85" s="135">
        <f>ROUND((100-G81-G83-G84),1)</f>
        <v>93.8</v>
      </c>
      <c r="H85" s="135">
        <f>ROUND((100-H81-H83-H84),1)</f>
        <v>92.9</v>
      </c>
      <c r="I85" s="135">
        <f>ROUND((100-I81-I83-I84),1)</f>
        <v>91.5</v>
      </c>
      <c r="J85" s="135">
        <f>ROUND((100-J81-J83-J84),1)</f>
        <v>90.4</v>
      </c>
      <c r="K85" s="76"/>
      <c r="L85" s="76"/>
      <c r="M85" s="76"/>
      <c r="N85" s="76"/>
      <c r="O85" s="76"/>
      <c r="P85" s="76"/>
      <c r="Q85" s="76"/>
      <c r="R85" s="76"/>
      <c r="S85" s="76"/>
      <c r="T85" s="76"/>
    </row>
    <row r="86" spans="1:20" ht="13.5" thickBot="1">
      <c r="A86" s="84" t="s">
        <v>96</v>
      </c>
      <c r="B86" s="118">
        <f>ROUND((1.23*10^-4*(G79^-0.8048*29.557)*G75+0.9877*(G79^-0.8048*29.557)),2)</f>
        <v>5.04</v>
      </c>
      <c r="C86" s="118">
        <f>ROUND((1.23*10^-4*(H79^-0.8048*29.557)*H75+0.9877*(H79^-0.8048*29.557)),2)</f>
        <v>4.84</v>
      </c>
      <c r="D86" s="118">
        <f>ROUND((1.23*10^-4*(I79^-0.8048*29.557)*I75+0.9877*(I79^-0.8048*29.557)),2)</f>
        <v>4.79</v>
      </c>
      <c r="E86" s="118">
        <f>ROUND((1.23*10^-4*(J79^-0.8048*29.557)*J75+0.9877*(J79^-0.8048*29.557)),2)</f>
        <v>4.76</v>
      </c>
      <c r="F86" s="118" t="s">
        <v>78</v>
      </c>
      <c r="G86" s="118">
        <f>ROUND((100000/(7*G85)),1)</f>
        <v>152.3</v>
      </c>
      <c r="H86" s="118">
        <f>ROUND((100000/(7*H85)),1)</f>
        <v>153.8</v>
      </c>
      <c r="I86" s="118">
        <f>ROUND((100000/(7*I85)),1)</f>
        <v>156.1</v>
      </c>
      <c r="J86" s="118">
        <f>ROUND((100000/(7*J85)),1)</f>
        <v>158</v>
      </c>
      <c r="K86" s="76"/>
      <c r="L86" s="76"/>
      <c r="M86" s="76"/>
      <c r="N86" s="76"/>
      <c r="O86" s="76"/>
      <c r="P86" s="76"/>
      <c r="Q86" s="76"/>
      <c r="R86" s="76"/>
      <c r="S86" s="76"/>
      <c r="T86" s="76"/>
    </row>
    <row r="87" spans="6:20" ht="12.75">
      <c r="F87" s="76"/>
      <c r="G87" s="103"/>
      <c r="H87" s="103"/>
      <c r="I87" s="103"/>
      <c r="J87" s="103"/>
      <c r="K87" s="76"/>
      <c r="L87" s="76"/>
      <c r="M87" s="76"/>
      <c r="N87" s="76"/>
      <c r="O87" s="76"/>
      <c r="P87" s="76"/>
      <c r="Q87" s="76"/>
      <c r="R87" s="76"/>
      <c r="S87" s="76"/>
      <c r="T87" s="76"/>
    </row>
    <row r="88" spans="6:20" ht="13.5" thickBot="1">
      <c r="F88" s="76"/>
      <c r="G88" s="76"/>
      <c r="H88" s="103"/>
      <c r="I88" s="103"/>
      <c r="J88" s="103"/>
      <c r="K88" s="76"/>
      <c r="L88" s="76"/>
      <c r="M88" s="76"/>
      <c r="N88" s="76"/>
      <c r="O88" s="76"/>
      <c r="P88" s="76"/>
      <c r="Q88" s="76"/>
      <c r="R88" s="76"/>
      <c r="S88" s="76"/>
      <c r="T88" s="76"/>
    </row>
    <row r="89" spans="1:20" ht="13.5" thickBot="1">
      <c r="A89" s="20"/>
      <c r="B89" s="20"/>
      <c r="C89" s="20"/>
      <c r="D89" s="20"/>
      <c r="E89" s="20"/>
      <c r="F89" s="136" t="s">
        <v>93</v>
      </c>
      <c r="G89" s="140"/>
      <c r="H89" s="140"/>
      <c r="I89" s="140"/>
      <c r="J89" s="118">
        <f>B76</f>
        <v>55</v>
      </c>
      <c r="K89" s="76"/>
      <c r="L89" s="76"/>
      <c r="M89" s="76"/>
      <c r="N89" s="76"/>
      <c r="O89" s="76"/>
      <c r="P89" s="76"/>
      <c r="Q89" s="76"/>
      <c r="R89" s="76"/>
      <c r="S89" s="76"/>
      <c r="T89" s="76"/>
    </row>
    <row r="90" spans="6:20" ht="13.5" thickBot="1">
      <c r="F90" s="136" t="s">
        <v>94</v>
      </c>
      <c r="G90" s="118">
        <f>ROUND((G89*1.05),0)</f>
        <v>0</v>
      </c>
      <c r="H90" s="118">
        <f>ROUND((H89*1.05),0)</f>
        <v>0</v>
      </c>
      <c r="I90" s="118">
        <f>ROUND((I89*1.05),0)</f>
        <v>0</v>
      </c>
      <c r="J90" s="118">
        <f>ROUND((J89*1.05),0)</f>
        <v>58</v>
      </c>
      <c r="K90" s="76"/>
      <c r="L90" s="76"/>
      <c r="M90" s="76"/>
      <c r="N90" s="76"/>
      <c r="O90" s="76"/>
      <c r="P90" s="76"/>
      <c r="Q90" s="76"/>
      <c r="R90" s="76"/>
      <c r="S90" s="76"/>
      <c r="T90" s="76"/>
    </row>
    <row r="91" spans="6:20" ht="13.5" thickBot="1">
      <c r="F91" s="136" t="s">
        <v>95</v>
      </c>
      <c r="G91" s="118">
        <f>ROUND((G89*1.05*2.053*G80),0)</f>
        <v>0</v>
      </c>
      <c r="H91" s="118">
        <f>ROUND((H89*1.05*2.053*H80),0)</f>
        <v>0</v>
      </c>
      <c r="I91" s="118">
        <f>ROUND((I89*1.05*2.053*I80),0)</f>
        <v>0</v>
      </c>
      <c r="J91" s="118">
        <f>ROUND((J89*1.05*2.053*J80),0)</f>
        <v>140</v>
      </c>
      <c r="K91" s="76"/>
      <c r="L91" s="76"/>
      <c r="M91" s="76"/>
      <c r="N91" s="76"/>
      <c r="O91" s="76"/>
      <c r="P91" s="76"/>
      <c r="Q91" s="76"/>
      <c r="R91" s="76"/>
      <c r="S91" s="76"/>
      <c r="T91" s="76"/>
    </row>
    <row r="92" spans="15:20" ht="12.75">
      <c r="O92" s="20"/>
      <c r="P92" s="20"/>
      <c r="Q92" s="20"/>
      <c r="R92" s="20"/>
      <c r="S92" s="20"/>
      <c r="T92" s="20"/>
    </row>
    <row r="95" spans="1:20" ht="12.75">
      <c r="A95" s="275"/>
      <c r="B95" s="275"/>
      <c r="C95" s="275"/>
      <c r="D95" s="275"/>
      <c r="E95" s="275"/>
      <c r="F95" s="275"/>
      <c r="G95" s="275"/>
      <c r="H95" s="275"/>
      <c r="I95" s="275"/>
      <c r="J95" s="275"/>
      <c r="K95" s="275"/>
      <c r="L95" s="275"/>
      <c r="M95" s="275"/>
      <c r="N95" s="275"/>
      <c r="O95" s="275"/>
      <c r="P95" s="275"/>
      <c r="Q95" s="275"/>
      <c r="R95" s="275"/>
      <c r="S95" s="275"/>
      <c r="T95" s="275"/>
    </row>
    <row r="96" spans="1:20" ht="12.75">
      <c r="A96" s="275"/>
      <c r="B96" s="275"/>
      <c r="C96" s="275"/>
      <c r="D96" s="275"/>
      <c r="E96" s="275"/>
      <c r="F96" s="275"/>
      <c r="G96" s="275"/>
      <c r="H96" s="275"/>
      <c r="I96" s="275"/>
      <c r="J96" s="275"/>
      <c r="K96" s="275"/>
      <c r="L96" s="275"/>
      <c r="M96" s="275"/>
      <c r="N96" s="275"/>
      <c r="O96" s="275"/>
      <c r="P96" s="275"/>
      <c r="Q96" s="275"/>
      <c r="R96" s="275"/>
      <c r="S96" s="275"/>
      <c r="T96" s="275"/>
    </row>
    <row r="97" spans="1:20" ht="12.75">
      <c r="A97" s="275"/>
      <c r="B97" s="275"/>
      <c r="C97" s="275"/>
      <c r="D97" s="275"/>
      <c r="E97" s="275"/>
      <c r="F97" s="275"/>
      <c r="G97" s="275"/>
      <c r="H97" s="275"/>
      <c r="I97" s="275"/>
      <c r="J97" s="275"/>
      <c r="K97" s="275"/>
      <c r="L97" s="275"/>
      <c r="M97" s="275"/>
      <c r="N97" s="275"/>
      <c r="O97" s="275"/>
      <c r="P97" s="275"/>
      <c r="Q97" s="275"/>
      <c r="R97" s="275"/>
      <c r="S97" s="275"/>
      <c r="T97" s="275"/>
    </row>
    <row r="98" spans="1:20" ht="12.75">
      <c r="A98" s="275"/>
      <c r="B98" s="275"/>
      <c r="C98" s="275"/>
      <c r="D98" s="275"/>
      <c r="E98" s="275"/>
      <c r="F98" s="275"/>
      <c r="G98" s="275"/>
      <c r="H98" s="275"/>
      <c r="I98" s="275"/>
      <c r="J98" s="275"/>
      <c r="K98" s="275"/>
      <c r="L98" s="275"/>
      <c r="M98" s="275"/>
      <c r="N98" s="275"/>
      <c r="O98" s="275"/>
      <c r="P98" s="275"/>
      <c r="Q98" s="275"/>
      <c r="R98" s="275"/>
      <c r="S98" s="275"/>
      <c r="T98" s="275"/>
    </row>
    <row r="99" spans="1:20" ht="12.75">
      <c r="A99" s="275"/>
      <c r="B99" s="275"/>
      <c r="C99" s="275"/>
      <c r="D99" s="275"/>
      <c r="E99" s="275"/>
      <c r="F99" s="275"/>
      <c r="G99" s="275"/>
      <c r="H99" s="275"/>
      <c r="I99" s="275"/>
      <c r="J99" s="275"/>
      <c r="K99" s="275"/>
      <c r="L99" s="275"/>
      <c r="M99" s="275"/>
      <c r="N99" s="275"/>
      <c r="O99" s="275"/>
      <c r="P99" s="275"/>
      <c r="Q99" s="275"/>
      <c r="R99" s="275"/>
      <c r="S99" s="275"/>
      <c r="T99" s="275"/>
    </row>
    <row r="100" spans="1:20" ht="12.75">
      <c r="A100" s="275"/>
      <c r="B100" s="275"/>
      <c r="C100" s="275"/>
      <c r="D100" s="275"/>
      <c r="E100" s="275"/>
      <c r="F100" s="275"/>
      <c r="G100" s="275"/>
      <c r="H100" s="275"/>
      <c r="I100" s="275"/>
      <c r="J100" s="275"/>
      <c r="K100" s="275"/>
      <c r="L100" s="275"/>
      <c r="M100" s="275"/>
      <c r="N100" s="275"/>
      <c r="O100" s="275"/>
      <c r="P100" s="275"/>
      <c r="Q100" s="275"/>
      <c r="R100" s="275"/>
      <c r="S100" s="275"/>
      <c r="T100" s="275"/>
    </row>
    <row r="101" spans="1:20" ht="12.75">
      <c r="A101" s="275"/>
      <c r="B101" s="275"/>
      <c r="C101" s="275"/>
      <c r="D101" s="275"/>
      <c r="E101" s="275"/>
      <c r="F101" s="275"/>
      <c r="G101" s="275"/>
      <c r="H101" s="275"/>
      <c r="I101" s="275"/>
      <c r="J101" s="275"/>
      <c r="K101" s="275"/>
      <c r="L101" s="275"/>
      <c r="M101" s="275"/>
      <c r="N101" s="275"/>
      <c r="O101" s="275"/>
      <c r="P101" s="275"/>
      <c r="Q101" s="275"/>
      <c r="R101" s="275"/>
      <c r="S101" s="275"/>
      <c r="T101" s="275"/>
    </row>
    <row r="102" spans="1:20" ht="12.75">
      <c r="A102" s="275"/>
      <c r="B102" s="275"/>
      <c r="C102" s="275"/>
      <c r="D102" s="275"/>
      <c r="E102" s="275"/>
      <c r="F102" s="275"/>
      <c r="G102" s="275"/>
      <c r="H102" s="275"/>
      <c r="I102" s="275"/>
      <c r="J102" s="275"/>
      <c r="K102" s="275"/>
      <c r="L102" s="275"/>
      <c r="M102" s="275"/>
      <c r="N102" s="275"/>
      <c r="O102" s="275"/>
      <c r="P102" s="275"/>
      <c r="Q102" s="275"/>
      <c r="R102" s="275"/>
      <c r="S102" s="275"/>
      <c r="T102" s="275"/>
    </row>
    <row r="103" spans="1:20" ht="12.75">
      <c r="A103" s="275"/>
      <c r="B103" s="275"/>
      <c r="C103" s="275"/>
      <c r="D103" s="275"/>
      <c r="E103" s="275"/>
      <c r="F103" s="275"/>
      <c r="G103" s="275"/>
      <c r="H103" s="275"/>
      <c r="I103" s="275"/>
      <c r="J103" s="275"/>
      <c r="K103" s="275"/>
      <c r="L103" s="275"/>
      <c r="M103" s="275"/>
      <c r="N103" s="275"/>
      <c r="O103" s="275"/>
      <c r="P103" s="275"/>
      <c r="Q103" s="275"/>
      <c r="R103" s="275"/>
      <c r="S103" s="275"/>
      <c r="T103" s="275"/>
    </row>
    <row r="104" spans="1:20" ht="12.75">
      <c r="A104" s="275"/>
      <c r="B104" s="275"/>
      <c r="C104" s="275"/>
      <c r="D104" s="275"/>
      <c r="E104" s="275"/>
      <c r="F104" s="275"/>
      <c r="G104" s="275"/>
      <c r="H104" s="275"/>
      <c r="I104" s="275"/>
      <c r="J104" s="275"/>
      <c r="K104" s="275"/>
      <c r="L104" s="275"/>
      <c r="M104" s="275"/>
      <c r="N104" s="275"/>
      <c r="O104" s="275"/>
      <c r="P104" s="275"/>
      <c r="Q104" s="275"/>
      <c r="R104" s="275"/>
      <c r="S104" s="275"/>
      <c r="T104" s="275"/>
    </row>
    <row r="105" spans="1:20" ht="12.75">
      <c r="A105" s="275"/>
      <c r="B105" s="275"/>
      <c r="C105" s="275"/>
      <c r="D105" s="275"/>
      <c r="E105" s="275"/>
      <c r="F105" s="275"/>
      <c r="G105" s="275"/>
      <c r="H105" s="275"/>
      <c r="I105" s="275"/>
      <c r="J105" s="275"/>
      <c r="K105" s="275"/>
      <c r="L105" s="275"/>
      <c r="M105" s="275"/>
      <c r="N105" s="275"/>
      <c r="O105" s="275"/>
      <c r="P105" s="275"/>
      <c r="Q105" s="275"/>
      <c r="R105" s="275"/>
      <c r="S105" s="275"/>
      <c r="T105" s="275"/>
    </row>
    <row r="106" spans="1:20" ht="12.75">
      <c r="A106" s="275"/>
      <c r="B106" s="275"/>
      <c r="C106" s="275"/>
      <c r="D106" s="275"/>
      <c r="E106" s="275"/>
      <c r="F106" s="275"/>
      <c r="G106" s="275"/>
      <c r="H106" s="275"/>
      <c r="I106" s="275"/>
      <c r="J106" s="275"/>
      <c r="K106" s="275"/>
      <c r="L106" s="275"/>
      <c r="M106" s="275"/>
      <c r="N106" s="275"/>
      <c r="O106" s="275"/>
      <c r="P106" s="275"/>
      <c r="Q106" s="275"/>
      <c r="R106" s="275"/>
      <c r="S106" s="275"/>
      <c r="T106" s="275"/>
    </row>
    <row r="107" spans="1:20" ht="12.75">
      <c r="A107" s="275"/>
      <c r="B107" s="275"/>
      <c r="C107" s="275"/>
      <c r="D107" s="275"/>
      <c r="E107" s="275"/>
      <c r="F107" s="275"/>
      <c r="G107" s="275"/>
      <c r="H107" s="275"/>
      <c r="I107" s="275"/>
      <c r="J107" s="275"/>
      <c r="K107" s="275"/>
      <c r="L107" s="275"/>
      <c r="M107" s="275"/>
      <c r="N107" s="275"/>
      <c r="O107" s="275"/>
      <c r="P107" s="275"/>
      <c r="Q107" s="275"/>
      <c r="R107" s="275"/>
      <c r="S107" s="275"/>
      <c r="T107" s="275"/>
    </row>
    <row r="108" spans="1:20" ht="12.75">
      <c r="A108" s="275"/>
      <c r="B108" s="275"/>
      <c r="C108" s="275"/>
      <c r="D108" s="275"/>
      <c r="E108" s="275"/>
      <c r="F108" s="275"/>
      <c r="G108" s="275"/>
      <c r="H108" s="275"/>
      <c r="I108" s="275"/>
      <c r="J108" s="275"/>
      <c r="K108" s="275"/>
      <c r="L108" s="275"/>
      <c r="M108" s="275"/>
      <c r="N108" s="275"/>
      <c r="O108" s="275"/>
      <c r="P108" s="275"/>
      <c r="Q108" s="275"/>
      <c r="R108" s="275"/>
      <c r="S108" s="275"/>
      <c r="T108" s="275"/>
    </row>
    <row r="109" spans="1:20" ht="12.75">
      <c r="A109" s="275"/>
      <c r="B109" s="275"/>
      <c r="C109" s="275"/>
      <c r="D109" s="275"/>
      <c r="E109" s="275"/>
      <c r="F109" s="275"/>
      <c r="G109" s="275"/>
      <c r="H109" s="275"/>
      <c r="I109" s="275"/>
      <c r="J109" s="275"/>
      <c r="K109" s="275"/>
      <c r="L109" s="275"/>
      <c r="M109" s="275"/>
      <c r="N109" s="275"/>
      <c r="O109" s="275"/>
      <c r="P109" s="275"/>
      <c r="Q109" s="275"/>
      <c r="R109" s="275"/>
      <c r="S109" s="275"/>
      <c r="T109" s="275"/>
    </row>
    <row r="133" spans="4:14" ht="12.75">
      <c r="D133" s="241" t="s">
        <v>159</v>
      </c>
      <c r="E133" s="241">
        <v>25</v>
      </c>
      <c r="F133" s="241">
        <v>28</v>
      </c>
      <c r="G133" s="241">
        <v>35</v>
      </c>
      <c r="H133" s="241">
        <v>40</v>
      </c>
      <c r="I133" s="241">
        <v>42</v>
      </c>
      <c r="J133" s="241">
        <v>47</v>
      </c>
      <c r="K133" s="241">
        <v>50</v>
      </c>
      <c r="L133" s="241">
        <v>53</v>
      </c>
      <c r="M133" s="241">
        <v>60</v>
      </c>
      <c r="N133" s="242">
        <v>45</v>
      </c>
    </row>
    <row r="134" spans="4:14" ht="12.75">
      <c r="D134" s="241" t="s">
        <v>160</v>
      </c>
      <c r="E134" s="241">
        <v>35.5</v>
      </c>
      <c r="F134" s="241">
        <v>40.7</v>
      </c>
      <c r="G134" s="241">
        <v>56.4</v>
      </c>
      <c r="H134" s="241">
        <v>64</v>
      </c>
      <c r="I134" s="241">
        <v>73.9</v>
      </c>
      <c r="J134" s="241">
        <v>79.8</v>
      </c>
      <c r="K134" s="241">
        <v>85.6</v>
      </c>
      <c r="L134" s="241">
        <v>90.4</v>
      </c>
      <c r="M134" s="241">
        <v>95.8</v>
      </c>
      <c r="N134" s="241">
        <f>ROUND(-0.0213*N133^2+3.6162*N133-43.076,1)</f>
        <v>76.5</v>
      </c>
    </row>
    <row r="163" spans="2:10" ht="12.75">
      <c r="B163">
        <v>20</v>
      </c>
      <c r="D163">
        <v>40</v>
      </c>
      <c r="G163">
        <v>70</v>
      </c>
      <c r="J163">
        <v>100</v>
      </c>
    </row>
    <row r="164" spans="1:10" ht="12.75">
      <c r="A164" s="241" t="s">
        <v>159</v>
      </c>
      <c r="B164" s="241">
        <v>14.2</v>
      </c>
      <c r="C164" s="241">
        <v>15.5</v>
      </c>
      <c r="D164" s="241">
        <v>20</v>
      </c>
      <c r="E164" s="241">
        <v>25.5</v>
      </c>
      <c r="F164" s="241">
        <v>31</v>
      </c>
      <c r="G164" s="241">
        <v>36</v>
      </c>
      <c r="H164" s="241">
        <v>40.5</v>
      </c>
      <c r="I164" s="241">
        <v>45</v>
      </c>
      <c r="J164" s="241">
        <v>55</v>
      </c>
    </row>
    <row r="165" spans="1:10" ht="12.75">
      <c r="A165" s="241" t="s">
        <v>160</v>
      </c>
      <c r="B165" s="241">
        <v>18</v>
      </c>
      <c r="C165" s="241">
        <v>38</v>
      </c>
      <c r="D165" s="241">
        <v>55</v>
      </c>
      <c r="E165" s="241">
        <v>65</v>
      </c>
      <c r="F165" s="241">
        <v>74</v>
      </c>
      <c r="G165" s="241">
        <v>81.5</v>
      </c>
      <c r="H165" s="241">
        <v>88</v>
      </c>
      <c r="I165" s="241">
        <v>94.5</v>
      </c>
      <c r="J165" s="241">
        <v>108</v>
      </c>
    </row>
    <row r="167" spans="1:11" ht="12.75">
      <c r="A167" s="275"/>
      <c r="B167" s="275"/>
      <c r="C167" s="275"/>
      <c r="D167" s="275"/>
      <c r="E167" s="275"/>
      <c r="F167">
        <f>J165-B165</f>
        <v>90</v>
      </c>
      <c r="H167" s="275"/>
      <c r="I167" s="275"/>
      <c r="J167" s="275"/>
      <c r="K167" s="275"/>
    </row>
    <row r="168" spans="1:11" ht="12.75">
      <c r="A168" s="275"/>
      <c r="B168" s="275"/>
      <c r="C168" s="275"/>
      <c r="D168" s="275"/>
      <c r="E168" s="275"/>
      <c r="F168">
        <f>F167*42</f>
        <v>3780</v>
      </c>
      <c r="H168" s="275"/>
      <c r="I168" s="275"/>
      <c r="J168" s="275"/>
      <c r="K168" s="275"/>
    </row>
    <row r="169" spans="1:11" ht="12.75">
      <c r="A169" s="275"/>
      <c r="B169" s="275"/>
      <c r="C169" s="275"/>
      <c r="D169" s="275"/>
      <c r="E169" s="275"/>
      <c r="H169" s="275"/>
      <c r="I169" s="275"/>
      <c r="J169" s="275"/>
      <c r="K169" s="275"/>
    </row>
    <row r="170" spans="1:11" ht="12.75">
      <c r="A170" s="275"/>
      <c r="B170" s="275"/>
      <c r="C170" s="275"/>
      <c r="D170" s="275"/>
      <c r="E170" s="275"/>
      <c r="H170" s="275"/>
      <c r="I170" s="275"/>
      <c r="J170" s="275"/>
      <c r="K170" s="275"/>
    </row>
    <row r="171" spans="1:11" ht="12.75">
      <c r="A171" s="275"/>
      <c r="B171" s="275"/>
      <c r="C171" s="275"/>
      <c r="D171" s="275"/>
      <c r="E171" s="275"/>
      <c r="H171" s="275"/>
      <c r="I171" s="275"/>
      <c r="J171" s="275"/>
      <c r="K171" s="275"/>
    </row>
    <row r="172" spans="1:11" ht="12.75">
      <c r="A172" s="275"/>
      <c r="B172" s="275"/>
      <c r="C172" s="275"/>
      <c r="D172" s="275"/>
      <c r="E172" s="275"/>
      <c r="H172" s="275"/>
      <c r="I172" s="275"/>
      <c r="J172" s="275"/>
      <c r="K172" s="275"/>
    </row>
    <row r="173" spans="1:11" ht="12.75">
      <c r="A173" s="275"/>
      <c r="B173" s="275"/>
      <c r="C173" s="275"/>
      <c r="D173" s="275"/>
      <c r="E173" s="275"/>
      <c r="F173" s="275"/>
      <c r="G173" s="275"/>
      <c r="H173" s="275"/>
      <c r="I173" s="275"/>
      <c r="J173" s="275"/>
      <c r="K173" s="275"/>
    </row>
    <row r="174" spans="1:11" ht="12.75">
      <c r="A174" s="275"/>
      <c r="B174" s="275"/>
      <c r="C174" s="275"/>
      <c r="D174" s="275"/>
      <c r="E174" s="275"/>
      <c r="F174" s="275"/>
      <c r="G174" s="275"/>
      <c r="H174" s="275"/>
      <c r="I174" s="275"/>
      <c r="J174" s="275"/>
      <c r="K174" s="275"/>
    </row>
    <row r="175" spans="1:11" ht="12.75">
      <c r="A175" s="275"/>
      <c r="B175" s="275"/>
      <c r="C175" s="275"/>
      <c r="D175" s="275"/>
      <c r="E175" s="275"/>
      <c r="F175" s="275"/>
      <c r="G175" s="275"/>
      <c r="H175" s="275"/>
      <c r="I175" s="275"/>
      <c r="J175" s="275"/>
      <c r="K175" s="275"/>
    </row>
    <row r="176" spans="1:11" ht="12.75">
      <c r="A176" s="275"/>
      <c r="B176" s="275"/>
      <c r="C176" s="275"/>
      <c r="D176" s="275"/>
      <c r="E176" s="275"/>
      <c r="F176" s="275"/>
      <c r="G176" s="275"/>
      <c r="H176" s="275"/>
      <c r="I176" s="275"/>
      <c r="J176" s="275"/>
      <c r="K176" s="275"/>
    </row>
    <row r="177" spans="1:11" ht="12.75">
      <c r="A177" s="275"/>
      <c r="B177" s="275"/>
      <c r="C177" s="275"/>
      <c r="D177" s="275"/>
      <c r="E177" s="275"/>
      <c r="F177" s="275"/>
      <c r="G177" s="275"/>
      <c r="H177" s="275"/>
      <c r="I177" s="275"/>
      <c r="J177" s="275"/>
      <c r="K177" s="275"/>
    </row>
    <row r="178" spans="8:11" ht="12.75">
      <c r="H178" s="275"/>
      <c r="I178" s="275"/>
      <c r="J178" s="275"/>
      <c r="K178" s="275"/>
    </row>
  </sheetData>
  <mergeCells count="17">
    <mergeCell ref="C71:E72"/>
    <mergeCell ref="BB59:BD59"/>
    <mergeCell ref="D65:D66"/>
    <mergeCell ref="E65:E66"/>
    <mergeCell ref="C68:D68"/>
    <mergeCell ref="AO57:AP57"/>
    <mergeCell ref="AR57:AU57"/>
    <mergeCell ref="AL59:AN60"/>
    <mergeCell ref="AY59:AZ59"/>
    <mergeCell ref="AY31:AZ31"/>
    <mergeCell ref="BB31:BD31"/>
    <mergeCell ref="AY45:AZ45"/>
    <mergeCell ref="BB45:BD45"/>
    <mergeCell ref="AY17:AZ17"/>
    <mergeCell ref="BB17:BD17"/>
    <mergeCell ref="AO29:AP29"/>
    <mergeCell ref="AR29:AU29"/>
  </mergeCells>
  <printOptions horizontalCentered="1"/>
  <pageMargins left="0.984251968503937" right="0.3937007874015748" top="0.1968503937007874" bottom="0.1968503937007874" header="0.5118110236220472" footer="0.5118110236220472"/>
  <pageSetup horizontalDpi="600" verticalDpi="600" orientation="portrait" pageOrder="overThenDown" paperSize="9" scale="97" r:id="rId2"/>
  <rowBreaks count="1" manualBreakCount="1">
    <brk id="60" max="255" man="1"/>
  </rowBreaks>
  <colBreaks count="3" manualBreakCount="3">
    <brk id="10" max="65535" man="1"/>
    <brk id="20" max="65535" man="1"/>
    <brk id="3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H118"/>
  <sheetViews>
    <sheetView zoomScale="75" zoomScaleNormal="75" zoomScaleSheetLayoutView="75" workbookViewId="0" topLeftCell="A70">
      <selection activeCell="M87" sqref="M87"/>
    </sheetView>
  </sheetViews>
  <sheetFormatPr defaultColWidth="8.75390625" defaultRowHeight="12.75"/>
  <cols>
    <col min="1" max="16384" width="9.125" style="0" customWidth="1"/>
  </cols>
  <sheetData>
    <row r="1" spans="2:60" ht="19.5" customHeight="1">
      <c r="B1" s="61"/>
      <c r="C1" s="61"/>
      <c r="F1" s="61"/>
      <c r="G1" s="61"/>
      <c r="H1" s="61"/>
      <c r="I1" s="63" t="s">
        <v>192</v>
      </c>
      <c r="J1" s="62">
        <f>E65</f>
        <v>4</v>
      </c>
      <c r="K1" s="63"/>
      <c r="N1" s="63"/>
      <c r="O1" s="63"/>
      <c r="P1" s="63"/>
      <c r="Q1" s="63"/>
      <c r="R1" s="63"/>
      <c r="S1" s="63" t="s">
        <v>191</v>
      </c>
      <c r="T1" s="62">
        <f>E65</f>
        <v>4</v>
      </c>
      <c r="U1" s="64"/>
      <c r="Y1" s="63"/>
      <c r="Z1" s="63"/>
      <c r="AA1" s="63"/>
      <c r="AB1" s="63"/>
      <c r="AC1" s="63" t="s">
        <v>191</v>
      </c>
      <c r="AD1" s="62">
        <f>E65</f>
        <v>4</v>
      </c>
      <c r="AG1" s="62" t="s">
        <v>64</v>
      </c>
      <c r="AH1" s="23"/>
      <c r="AI1" s="23"/>
      <c r="AJ1" s="23"/>
      <c r="AK1" s="23"/>
      <c r="AL1" s="23"/>
      <c r="AN1" s="62">
        <f>E65</f>
        <v>4</v>
      </c>
      <c r="AQ1" s="61"/>
      <c r="AR1" s="61"/>
      <c r="AS1" s="61"/>
      <c r="AT1" s="61"/>
      <c r="AU1" s="61"/>
      <c r="AV1" s="61"/>
      <c r="AW1" s="63" t="s">
        <v>193</v>
      </c>
      <c r="AX1" s="62">
        <f>E65</f>
        <v>4</v>
      </c>
      <c r="BA1" s="61"/>
      <c r="BB1" s="61"/>
      <c r="BC1" s="61"/>
      <c r="BD1" s="61"/>
      <c r="BE1" s="61"/>
      <c r="BF1" s="61"/>
      <c r="BG1" s="63" t="s">
        <v>193</v>
      </c>
      <c r="BH1" s="62">
        <f>E65</f>
        <v>4</v>
      </c>
    </row>
    <row r="2" spans="3:28" ht="15" customHeight="1">
      <c r="C2" s="61"/>
      <c r="D2" s="61"/>
      <c r="E2" s="61"/>
      <c r="F2" s="61"/>
      <c r="G2" s="61"/>
      <c r="H2" s="61"/>
      <c r="N2" s="62" t="s">
        <v>55</v>
      </c>
      <c r="O2" s="62"/>
      <c r="P2" s="62"/>
      <c r="Q2" s="62"/>
      <c r="R2" s="62"/>
      <c r="S2" s="265"/>
      <c r="T2" s="265"/>
      <c r="U2" s="265"/>
      <c r="V2" s="265"/>
      <c r="X2" s="62" t="s">
        <v>55</v>
      </c>
      <c r="Y2" s="62"/>
      <c r="Z2" s="62"/>
      <c r="AA2" s="62"/>
      <c r="AB2" s="62"/>
    </row>
    <row r="3" spans="1:59" ht="17.25" customHeight="1">
      <c r="A3" s="65" t="s">
        <v>61</v>
      </c>
      <c r="B3" s="66"/>
      <c r="C3" s="66"/>
      <c r="D3" s="66"/>
      <c r="E3" s="66"/>
      <c r="F3" s="66"/>
      <c r="G3" s="66"/>
      <c r="H3" s="66"/>
      <c r="I3" s="66"/>
      <c r="K3" s="67" t="s">
        <v>134</v>
      </c>
      <c r="L3" s="65"/>
      <c r="M3" s="65"/>
      <c r="N3" s="65"/>
      <c r="O3" s="65"/>
      <c r="P3" s="65"/>
      <c r="Q3" s="65"/>
      <c r="R3" s="65"/>
      <c r="S3" s="65"/>
      <c r="U3" s="65" t="s">
        <v>106</v>
      </c>
      <c r="W3" s="66"/>
      <c r="X3" s="66"/>
      <c r="Y3" s="66"/>
      <c r="Z3" s="66"/>
      <c r="AA3" s="66"/>
      <c r="AB3" s="66"/>
      <c r="AC3" s="66"/>
      <c r="AQ3" s="263"/>
      <c r="AR3" s="263" t="s">
        <v>194</v>
      </c>
      <c r="AS3" s="263"/>
      <c r="AT3" s="263"/>
      <c r="AU3" s="263"/>
      <c r="AV3" s="263"/>
      <c r="AW3" s="263"/>
      <c r="AX3" s="264"/>
      <c r="AY3" s="264"/>
      <c r="BA3" s="263"/>
      <c r="BB3" s="263" t="s">
        <v>194</v>
      </c>
      <c r="BC3" s="263"/>
      <c r="BD3" s="263"/>
      <c r="BE3" s="263"/>
      <c r="BF3" s="263"/>
      <c r="BG3" s="263"/>
    </row>
    <row r="4" spans="31:32" ht="12.75" customHeight="1">
      <c r="AE4" s="68" t="s">
        <v>107</v>
      </c>
      <c r="AF4" s="68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spans="51:52" ht="12.75" customHeight="1">
      <c r="AY15" s="47"/>
      <c r="AZ15" s="6"/>
    </row>
    <row r="16" spans="51:52" ht="12.75" customHeight="1">
      <c r="AY16" s="47"/>
      <c r="AZ16" s="6"/>
    </row>
    <row r="17" spans="51:57" ht="12.75" customHeight="1">
      <c r="AY17" s="437" t="s">
        <v>58</v>
      </c>
      <c r="AZ17" s="438"/>
      <c r="BA17" s="69">
        <f>J67</f>
        <v>99</v>
      </c>
      <c r="BB17" s="438" t="s">
        <v>105</v>
      </c>
      <c r="BC17" s="438"/>
      <c r="BD17" s="439"/>
      <c r="BE17" s="70">
        <f>J70</f>
        <v>13</v>
      </c>
    </row>
    <row r="18" ht="12.75" customHeight="1"/>
    <row r="19" ht="12.75" customHeight="1"/>
    <row r="20" ht="12.75" customHeight="1"/>
    <row r="21" ht="12.75" customHeight="1"/>
    <row r="22" spans="1:28" ht="14.25" customHeight="1">
      <c r="A22" s="65" t="s">
        <v>56</v>
      </c>
      <c r="C22" s="66"/>
      <c r="D22" s="66"/>
      <c r="E22" s="66"/>
      <c r="F22" s="66"/>
      <c r="G22" s="66"/>
      <c r="H22" s="66"/>
      <c r="I22" s="66"/>
      <c r="K22" s="65" t="s">
        <v>135</v>
      </c>
      <c r="M22" s="71"/>
      <c r="N22" s="71"/>
      <c r="O22" s="71"/>
      <c r="P22" s="71"/>
      <c r="Q22" s="71"/>
      <c r="R22" s="71"/>
      <c r="S22" s="71"/>
      <c r="U22" s="65" t="s">
        <v>57</v>
      </c>
      <c r="V22" s="65"/>
      <c r="W22" s="65"/>
      <c r="X22" s="65"/>
      <c r="Y22" s="65"/>
      <c r="Z22" s="65"/>
      <c r="AA22" s="65"/>
      <c r="AB22" s="65"/>
    </row>
    <row r="23" ht="12.75" customHeight="1"/>
    <row r="24" ht="12.75" customHeight="1"/>
    <row r="25" ht="12.75" customHeight="1"/>
    <row r="26" ht="12.75" customHeight="1"/>
    <row r="27" ht="12.75" customHeight="1"/>
    <row r="28" spans="51:52" ht="12.75" customHeight="1">
      <c r="AY28" s="47"/>
      <c r="AZ28" s="6"/>
    </row>
    <row r="29" spans="41:52" ht="12.75" customHeight="1">
      <c r="AO29" s="440" t="s">
        <v>58</v>
      </c>
      <c r="AP29" s="440"/>
      <c r="AQ29" s="71">
        <f>J67</f>
        <v>99</v>
      </c>
      <c r="AR29" s="441" t="s">
        <v>62</v>
      </c>
      <c r="AS29" s="441"/>
      <c r="AT29" s="404"/>
      <c r="AU29" s="404"/>
      <c r="AV29" s="71">
        <f>J70</f>
        <v>13</v>
      </c>
      <c r="AY29" s="47"/>
      <c r="AZ29" s="6"/>
    </row>
    <row r="30" spans="51:52" ht="12.75" customHeight="1">
      <c r="AY30" s="47"/>
      <c r="AZ30" s="6"/>
    </row>
    <row r="31" spans="51:57" ht="12.75" customHeight="1">
      <c r="AY31" s="437" t="s">
        <v>58</v>
      </c>
      <c r="AZ31" s="438"/>
      <c r="BA31" s="69">
        <f>I67</f>
        <v>39</v>
      </c>
      <c r="BB31" s="438" t="s">
        <v>105</v>
      </c>
      <c r="BC31" s="438"/>
      <c r="BD31" s="439"/>
      <c r="BE31" s="70">
        <f>I70</f>
        <v>13</v>
      </c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spans="1:28" ht="14.25" customHeight="1">
      <c r="A41" s="73" t="s">
        <v>108</v>
      </c>
      <c r="C41" s="71"/>
      <c r="D41" s="71"/>
      <c r="E41" s="71"/>
      <c r="F41" s="71"/>
      <c r="G41" s="71"/>
      <c r="H41" s="71"/>
      <c r="I41" s="71"/>
      <c r="K41" s="65" t="s">
        <v>109</v>
      </c>
      <c r="M41" s="71"/>
      <c r="N41" s="71"/>
      <c r="O41" s="71"/>
      <c r="P41" s="71"/>
      <c r="Q41" s="71"/>
      <c r="R41" s="71"/>
      <c r="S41" s="71"/>
      <c r="U41" s="73" t="s">
        <v>104</v>
      </c>
      <c r="V41" s="65"/>
      <c r="W41" s="65"/>
      <c r="X41" s="65"/>
      <c r="Y41" s="65"/>
      <c r="Z41" s="65"/>
      <c r="AA41" s="65"/>
      <c r="AB41" s="65"/>
    </row>
    <row r="42" ht="12.75" customHeight="1"/>
    <row r="43" spans="51:52" ht="12.75" customHeight="1">
      <c r="AY43" s="47"/>
      <c r="AZ43" s="6"/>
    </row>
    <row r="44" spans="51:52" ht="12.75" customHeight="1">
      <c r="AY44" s="47"/>
      <c r="AZ44" s="6"/>
    </row>
    <row r="45" spans="51:57" ht="12.75" customHeight="1">
      <c r="AY45" s="437" t="s">
        <v>58</v>
      </c>
      <c r="AZ45" s="438"/>
      <c r="BA45" s="69">
        <f>H67</f>
        <v>30</v>
      </c>
      <c r="BB45" s="438" t="s">
        <v>105</v>
      </c>
      <c r="BC45" s="438"/>
      <c r="BD45" s="439"/>
      <c r="BE45" s="70">
        <f>H70</f>
        <v>13</v>
      </c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spans="41:52" ht="12.75" customHeight="1">
      <c r="AO57" s="448" t="s">
        <v>58</v>
      </c>
      <c r="AP57" s="448"/>
      <c r="AQ57" s="71">
        <f>G67</f>
        <v>17</v>
      </c>
      <c r="AR57" s="441" t="s">
        <v>62</v>
      </c>
      <c r="AS57" s="441"/>
      <c r="AT57" s="404"/>
      <c r="AU57" s="404"/>
      <c r="AV57" s="71">
        <f>G70</f>
        <v>13</v>
      </c>
      <c r="AY57" s="47"/>
      <c r="AZ57" s="6"/>
    </row>
    <row r="58" spans="51:52" ht="12.75" customHeight="1">
      <c r="AY58" s="47"/>
      <c r="AZ58" s="6"/>
    </row>
    <row r="59" spans="38:57" ht="12.75" customHeight="1">
      <c r="AL59" s="449" t="s">
        <v>63</v>
      </c>
      <c r="AM59" s="450"/>
      <c r="AN59" s="450"/>
      <c r="AY59" s="437" t="s">
        <v>58</v>
      </c>
      <c r="AZ59" s="438"/>
      <c r="BA59" s="69">
        <f>G67</f>
        <v>17</v>
      </c>
      <c r="BB59" s="438" t="s">
        <v>105</v>
      </c>
      <c r="BC59" s="438"/>
      <c r="BD59" s="439"/>
      <c r="BE59" s="70">
        <f>G70</f>
        <v>13</v>
      </c>
    </row>
    <row r="60" spans="38:40" ht="12.75" customHeight="1">
      <c r="AL60" s="450"/>
      <c r="AM60" s="450"/>
      <c r="AN60" s="450"/>
    </row>
    <row r="61" spans="31:39" ht="12.75" customHeight="1">
      <c r="AE61" s="72"/>
      <c r="AF61" s="72"/>
      <c r="AG61" s="37"/>
      <c r="AH61" s="72"/>
      <c r="AI61" s="72"/>
      <c r="AJ61" s="4"/>
      <c r="AL61" s="66"/>
      <c r="AM61" s="66"/>
    </row>
    <row r="62" ht="12.75" customHeight="1"/>
    <row r="64" ht="12.75" customHeight="1" thickBot="1"/>
    <row r="65" spans="1:50" ht="12.75" customHeight="1" thickBot="1" thickTop="1">
      <c r="A65" s="74" t="s">
        <v>79</v>
      </c>
      <c r="B65" s="75">
        <f>0.5*0.86</f>
        <v>0.43</v>
      </c>
      <c r="C65" s="76"/>
      <c r="D65" s="451" t="s">
        <v>75</v>
      </c>
      <c r="E65" s="453">
        <v>4</v>
      </c>
      <c r="F65" s="76"/>
      <c r="G65" s="76"/>
      <c r="H65" s="77"/>
      <c r="I65" s="77"/>
      <c r="J65" s="77"/>
      <c r="K65" s="78"/>
      <c r="L65" s="76"/>
      <c r="M65" s="76"/>
      <c r="N65" s="76"/>
      <c r="O65" s="76"/>
      <c r="P65" s="76"/>
      <c r="Q65" s="76"/>
      <c r="R65" s="76"/>
      <c r="S65" s="76"/>
      <c r="T65" s="76"/>
      <c r="AU65" s="79">
        <f>G79</f>
        <v>8.3</v>
      </c>
      <c r="AV65" s="80">
        <f>G79</f>
        <v>8.3</v>
      </c>
      <c r="AW65" s="81">
        <v>11.8</v>
      </c>
      <c r="AX65" s="82">
        <v>0</v>
      </c>
    </row>
    <row r="66" spans="1:50" ht="13.5" thickBot="1">
      <c r="A66" s="74" t="s">
        <v>80</v>
      </c>
      <c r="B66" s="75">
        <v>0.37</v>
      </c>
      <c r="C66" s="76"/>
      <c r="D66" s="452"/>
      <c r="E66" s="452"/>
      <c r="F66" s="83"/>
      <c r="G66" s="84" t="s">
        <v>59</v>
      </c>
      <c r="H66" s="84" t="s">
        <v>60</v>
      </c>
      <c r="I66" s="84" t="s">
        <v>69</v>
      </c>
      <c r="J66" s="84" t="s">
        <v>68</v>
      </c>
      <c r="K66" s="78"/>
      <c r="L66" s="76"/>
      <c r="M66" s="76"/>
      <c r="N66" s="76"/>
      <c r="O66" s="76"/>
      <c r="P66" s="76"/>
      <c r="Q66" s="76"/>
      <c r="R66" s="76"/>
      <c r="S66" s="76"/>
      <c r="T66" s="76"/>
      <c r="AU66" s="85">
        <f>G78</f>
        <v>6.2</v>
      </c>
      <c r="AV66" s="86">
        <v>0</v>
      </c>
      <c r="AW66" s="87">
        <v>0</v>
      </c>
      <c r="AX66" s="88">
        <v>21</v>
      </c>
    </row>
    <row r="67" spans="1:50" ht="13.5" thickBot="1">
      <c r="A67" s="74" t="s">
        <v>333</v>
      </c>
      <c r="B67" s="75">
        <v>92</v>
      </c>
      <c r="C67" s="76"/>
      <c r="D67" s="76"/>
      <c r="E67" s="76"/>
      <c r="F67" s="89" t="s">
        <v>70</v>
      </c>
      <c r="G67" s="90">
        <f>ROUND((G68/B65*100),0)</f>
        <v>17</v>
      </c>
      <c r="H67" s="90">
        <f>ROUND((H68/B65*100),0)</f>
        <v>30</v>
      </c>
      <c r="I67" s="90">
        <f>ROUND((I68/B65*100),0)</f>
        <v>39</v>
      </c>
      <c r="J67" s="90">
        <f>ROUND((J68/B65*100),0)</f>
        <v>99</v>
      </c>
      <c r="K67" s="78"/>
      <c r="L67" s="76"/>
      <c r="M67" s="76"/>
      <c r="N67" s="76"/>
      <c r="O67" s="91"/>
      <c r="P67" s="91"/>
      <c r="Q67" s="91"/>
      <c r="R67" s="76"/>
      <c r="S67" s="76"/>
      <c r="T67" s="76"/>
      <c r="AU67" s="85">
        <f>G78*0.999</f>
        <v>6.1938</v>
      </c>
      <c r="AV67" s="86">
        <f>G78</f>
        <v>6.2</v>
      </c>
      <c r="AW67" s="92"/>
      <c r="AX67" s="91"/>
    </row>
    <row r="68" spans="1:50" ht="14.25" thickBot="1" thickTop="1">
      <c r="A68" s="74" t="s">
        <v>65</v>
      </c>
      <c r="B68" s="75">
        <f>ROUND(8153*(273.15+25)/(273.15+20),0)</f>
        <v>8292</v>
      </c>
      <c r="C68" s="454"/>
      <c r="D68" s="455"/>
      <c r="E68" s="76"/>
      <c r="F68" s="93" t="s">
        <v>85</v>
      </c>
      <c r="G68" s="94">
        <f>ROUND(B84*(100-G81-G83-G84),3)</f>
        <v>0.071</v>
      </c>
      <c r="H68" s="94">
        <f>ROUND(C84*(100-H81-H83-H84),3)</f>
        <v>0.127</v>
      </c>
      <c r="I68" s="94">
        <f>ROUND(D84*(100-I81-I83-I84),3)</f>
        <v>0.167</v>
      </c>
      <c r="J68" s="94">
        <f>ROUND(E84*(100-J81-J83-J84),3)</f>
        <v>0.425</v>
      </c>
      <c r="K68" s="78"/>
      <c r="L68" s="76"/>
      <c r="M68" s="76"/>
      <c r="N68" s="76"/>
      <c r="O68" s="91"/>
      <c r="P68" s="95" t="s">
        <v>76</v>
      </c>
      <c r="Q68" s="96">
        <f>ROUND((G69*$B68*Q83*10^-8),5)</f>
        <v>0.07095</v>
      </c>
      <c r="R68" s="96">
        <f>ROUND((H69*$B68*R83*10^-8),5)</f>
        <v>0.12666</v>
      </c>
      <c r="S68" s="96">
        <f>ROUND((I69*$B68*S83*10^-8),5)</f>
        <v>0.16664</v>
      </c>
      <c r="T68" s="96">
        <f>ROUND((J69*$B68*T83*10^-8),5)</f>
        <v>0.42551</v>
      </c>
      <c r="AU68" s="97">
        <f>G79</f>
        <v>8.3</v>
      </c>
      <c r="AV68" s="98">
        <v>0</v>
      </c>
      <c r="AW68" s="91"/>
      <c r="AX68" s="91"/>
    </row>
    <row r="69" spans="1:50" ht="13.5" thickBot="1">
      <c r="A69" s="76"/>
      <c r="B69" s="76"/>
      <c r="C69" s="99"/>
      <c r="D69" s="20"/>
      <c r="E69" s="20"/>
      <c r="F69" s="74" t="s">
        <v>51</v>
      </c>
      <c r="G69" s="100">
        <v>9.2</v>
      </c>
      <c r="H69" s="100">
        <v>16.4</v>
      </c>
      <c r="I69" s="100">
        <v>21.6</v>
      </c>
      <c r="J69" s="101">
        <f>B75</f>
        <v>56</v>
      </c>
      <c r="K69" s="78"/>
      <c r="L69" s="76"/>
      <c r="M69" s="76"/>
      <c r="N69" s="76"/>
      <c r="O69" s="91"/>
      <c r="P69" s="91"/>
      <c r="Q69" s="102"/>
      <c r="R69" s="103"/>
      <c r="S69" s="103"/>
      <c r="T69" s="103"/>
      <c r="AU69" s="104">
        <f>H79</f>
        <v>9.03</v>
      </c>
      <c r="AV69" s="105">
        <f>H79</f>
        <v>9.03</v>
      </c>
      <c r="AW69" s="91"/>
      <c r="AX69" s="91"/>
    </row>
    <row r="70" spans="1:50" ht="13.5" thickBot="1">
      <c r="A70" s="84" t="s">
        <v>334</v>
      </c>
      <c r="B70" s="384">
        <f>ROUND(B65*10^8/(B67*B68),1)</f>
        <v>56.4</v>
      </c>
      <c r="C70" s="20"/>
      <c r="D70" s="20"/>
      <c r="E70" s="20"/>
      <c r="F70" s="74" t="s">
        <v>52</v>
      </c>
      <c r="G70" s="100">
        <v>13</v>
      </c>
      <c r="H70" s="100">
        <v>13</v>
      </c>
      <c r="I70" s="100">
        <v>13</v>
      </c>
      <c r="J70" s="100">
        <v>13</v>
      </c>
      <c r="K70" s="78"/>
      <c r="L70" s="76"/>
      <c r="M70" s="76"/>
      <c r="N70" s="76"/>
      <c r="O70" s="106"/>
      <c r="P70" s="106"/>
      <c r="Q70" s="102"/>
      <c r="R70" s="103"/>
      <c r="S70" s="103"/>
      <c r="T70" s="103"/>
      <c r="AU70" s="104">
        <f>H78</f>
        <v>4.9</v>
      </c>
      <c r="AV70" s="105">
        <v>0</v>
      </c>
      <c r="AW70" s="91"/>
      <c r="AX70" s="106"/>
    </row>
    <row r="71" spans="1:50" ht="13.5" thickBot="1">
      <c r="A71" s="76"/>
      <c r="B71" s="76"/>
      <c r="C71" s="442" t="s">
        <v>74</v>
      </c>
      <c r="D71" s="443"/>
      <c r="E71" s="444"/>
      <c r="F71" s="74" t="s">
        <v>53</v>
      </c>
      <c r="G71" s="100"/>
      <c r="H71" s="100"/>
      <c r="I71" s="100"/>
      <c r="J71" s="100"/>
      <c r="K71" s="78"/>
      <c r="L71" s="76"/>
      <c r="M71" s="76"/>
      <c r="N71" s="76"/>
      <c r="O71" s="107"/>
      <c r="P71" s="107"/>
      <c r="Q71" s="102"/>
      <c r="R71" s="103"/>
      <c r="S71" s="103"/>
      <c r="T71" s="103"/>
      <c r="AU71" s="104">
        <f>H78*0.999</f>
        <v>4.8951</v>
      </c>
      <c r="AV71" s="105">
        <f>H78</f>
        <v>4.9</v>
      </c>
      <c r="AW71" s="91"/>
      <c r="AX71" s="107"/>
    </row>
    <row r="72" spans="1:50" ht="13.5" thickBot="1">
      <c r="A72" s="76"/>
      <c r="B72" s="76"/>
      <c r="C72" s="445"/>
      <c r="D72" s="446"/>
      <c r="E72" s="447"/>
      <c r="F72" s="109" t="s">
        <v>54</v>
      </c>
      <c r="G72" s="110"/>
      <c r="H72" s="110"/>
      <c r="I72" s="110"/>
      <c r="J72" s="110"/>
      <c r="K72" s="78"/>
      <c r="L72" s="76"/>
      <c r="M72" s="76"/>
      <c r="N72" s="76"/>
      <c r="O72" s="106"/>
      <c r="P72" s="106"/>
      <c r="Q72" s="102"/>
      <c r="R72" s="103"/>
      <c r="S72" s="103"/>
      <c r="T72" s="103"/>
      <c r="AU72" s="111">
        <f>H79</f>
        <v>9.03</v>
      </c>
      <c r="AV72" s="112">
        <v>0</v>
      </c>
      <c r="AW72" s="91"/>
      <c r="AX72" s="106"/>
    </row>
    <row r="73" spans="1:50" ht="13.5" thickBot="1">
      <c r="A73" s="76"/>
      <c r="B73" s="76"/>
      <c r="C73" s="76"/>
      <c r="D73" s="76"/>
      <c r="E73" s="76"/>
      <c r="F73" s="76"/>
      <c r="G73" s="113">
        <f>Q74</f>
        <v>123</v>
      </c>
      <c r="H73" s="113">
        <f>R74</f>
        <v>137</v>
      </c>
      <c r="I73" s="113">
        <f>S74</f>
        <v>148</v>
      </c>
      <c r="J73" s="113">
        <f>T74</f>
        <v>188</v>
      </c>
      <c r="K73" s="76"/>
      <c r="L73" s="76"/>
      <c r="M73" s="76"/>
      <c r="N73" s="76"/>
      <c r="O73" s="76"/>
      <c r="P73" s="76"/>
      <c r="Q73" s="76"/>
      <c r="R73" s="76"/>
      <c r="S73" s="76"/>
      <c r="T73" s="76"/>
      <c r="AU73" s="114">
        <f>I79</f>
        <v>9.54</v>
      </c>
      <c r="AV73" s="115">
        <f>I79</f>
        <v>9.54</v>
      </c>
      <c r="AW73" s="91"/>
      <c r="AX73" s="106"/>
    </row>
    <row r="74" spans="1:50" ht="13.5" thickBot="1">
      <c r="A74" s="74" t="s">
        <v>67</v>
      </c>
      <c r="B74" s="75">
        <v>20</v>
      </c>
      <c r="C74" s="76"/>
      <c r="D74" s="76"/>
      <c r="E74" s="76"/>
      <c r="F74" s="74" t="s">
        <v>86</v>
      </c>
      <c r="G74" s="100"/>
      <c r="H74" s="100"/>
      <c r="I74" s="100"/>
      <c r="J74" s="100"/>
      <c r="K74" s="78"/>
      <c r="L74" s="76"/>
      <c r="M74" s="76"/>
      <c r="N74" s="76"/>
      <c r="O74" s="106"/>
      <c r="P74" s="116" t="s">
        <v>86</v>
      </c>
      <c r="Q74" s="117">
        <f>ROUND(Q81/(0.01*L82)+0.85*$B74,0)</f>
        <v>123</v>
      </c>
      <c r="R74" s="117">
        <f>ROUND(R81/(0.01*M82)+0.85*$B74,0)</f>
        <v>137</v>
      </c>
      <c r="S74" s="117">
        <f>ROUND(S81/(0.01*N82)+0.85*$B74,0)</f>
        <v>148</v>
      </c>
      <c r="T74" s="117">
        <f>ROUND(T81/(0.01*O82)+0.85*$B74,0)</f>
        <v>188</v>
      </c>
      <c r="AU74" s="114">
        <f>I78</f>
        <v>4</v>
      </c>
      <c r="AV74" s="115">
        <v>0</v>
      </c>
      <c r="AW74" s="78"/>
      <c r="AX74" s="78"/>
    </row>
    <row r="75" spans="1:50" ht="13.5" thickBot="1">
      <c r="A75" s="74" t="s">
        <v>66</v>
      </c>
      <c r="B75" s="75">
        <v>56</v>
      </c>
      <c r="C75" s="76"/>
      <c r="D75" s="76"/>
      <c r="E75" s="76"/>
      <c r="F75" s="84" t="s">
        <v>86</v>
      </c>
      <c r="G75" s="118">
        <f>IF(G74=0,Q74,G74)</f>
        <v>123</v>
      </c>
      <c r="H75" s="118">
        <f>IF(H74=0,R74,H74)</f>
        <v>137</v>
      </c>
      <c r="I75" s="118">
        <f>IF(I74=0,S74,I74)</f>
        <v>148</v>
      </c>
      <c r="J75" s="118">
        <f>IF(J74=0,T74,J74)</f>
        <v>188</v>
      </c>
      <c r="K75" s="78"/>
      <c r="L75" s="76"/>
      <c r="M75" s="76"/>
      <c r="N75" s="76"/>
      <c r="O75" s="78"/>
      <c r="P75" s="76"/>
      <c r="Q75" s="76"/>
      <c r="R75" s="76"/>
      <c r="S75" s="78"/>
      <c r="T75" s="76"/>
      <c r="AU75" s="114">
        <f>I78*0.999</f>
        <v>3.996</v>
      </c>
      <c r="AV75" s="115">
        <f>I78</f>
        <v>4</v>
      </c>
      <c r="AW75" s="78"/>
      <c r="AX75" s="91"/>
    </row>
    <row r="76" spans="1:50" ht="13.5" thickBot="1">
      <c r="A76" s="108" t="s">
        <v>72</v>
      </c>
      <c r="B76" s="75"/>
      <c r="C76" s="76"/>
      <c r="D76" s="76"/>
      <c r="E76" s="76"/>
      <c r="F76" s="76"/>
      <c r="G76" s="113">
        <f>ROUND(Q77,1)</f>
        <v>6.2</v>
      </c>
      <c r="H76" s="113">
        <f>ROUND(R77,1)</f>
        <v>4.9</v>
      </c>
      <c r="I76" s="113">
        <f>ROUND(S77,1)</f>
        <v>4</v>
      </c>
      <c r="J76" s="113">
        <f>ROUND(T77,1)</f>
        <v>3.3</v>
      </c>
      <c r="K76" s="76"/>
      <c r="L76" s="76"/>
      <c r="M76" s="76"/>
      <c r="N76" s="76"/>
      <c r="O76" s="76"/>
      <c r="P76" s="76"/>
      <c r="Q76" s="76"/>
      <c r="R76" s="76"/>
      <c r="S76" s="76"/>
      <c r="T76" s="76"/>
      <c r="AU76" s="120">
        <f>I79</f>
        <v>9.54</v>
      </c>
      <c r="AV76" s="121">
        <v>0</v>
      </c>
      <c r="AW76" s="76"/>
      <c r="AX76" s="76"/>
    </row>
    <row r="77" spans="1:50" ht="13.5" thickBot="1">
      <c r="A77" s="76"/>
      <c r="B77" s="76"/>
      <c r="C77" s="76"/>
      <c r="D77" s="76"/>
      <c r="E77" s="76"/>
      <c r="F77" s="74" t="s">
        <v>87</v>
      </c>
      <c r="G77" s="100"/>
      <c r="H77" s="100"/>
      <c r="I77" s="100"/>
      <c r="J77" s="100"/>
      <c r="K77" s="76"/>
      <c r="L77" s="76"/>
      <c r="M77" s="76"/>
      <c r="N77" s="76"/>
      <c r="O77" s="102"/>
      <c r="P77" s="116" t="s">
        <v>98</v>
      </c>
      <c r="Q77" s="117">
        <f>ROUND(((21*Q80-21)/(Q80-0.1)),4)</f>
        <v>6.1834</v>
      </c>
      <c r="R77" s="117">
        <f>ROUND(((21*R80-21)/(R80-0.1)),4)</f>
        <v>4.8751</v>
      </c>
      <c r="S77" s="117">
        <f>ROUND(((21*S80-21)/(S80-0.1)),4)</f>
        <v>4.0356</v>
      </c>
      <c r="T77" s="117">
        <f>ROUND(((21*T80-21)/(T80-0.1)),4)</f>
        <v>3.3364</v>
      </c>
      <c r="AU77" s="122">
        <f>J79</f>
        <v>9.94</v>
      </c>
      <c r="AV77" s="123">
        <f>J79</f>
        <v>9.94</v>
      </c>
      <c r="AW77" s="76"/>
      <c r="AX77" s="76"/>
    </row>
    <row r="78" spans="1:50" ht="13.5" thickBot="1">
      <c r="A78" s="76"/>
      <c r="B78" s="76"/>
      <c r="C78" s="76"/>
      <c r="D78" s="76"/>
      <c r="E78" s="76"/>
      <c r="F78" s="84" t="s">
        <v>87</v>
      </c>
      <c r="G78" s="118">
        <f>IF(G77&gt;0,G77,ROUND(Q77,1))</f>
        <v>6.2</v>
      </c>
      <c r="H78" s="118">
        <f>IF(H77&gt;0,H77,ROUND(R77,1))</f>
        <v>4.9</v>
      </c>
      <c r="I78" s="118">
        <f>IF(I77&gt;0,I77,ROUND(S77,1))</f>
        <v>4</v>
      </c>
      <c r="J78" s="118">
        <f>IF(J77&gt;0,J77,ROUND(T77,1))</f>
        <v>3.3</v>
      </c>
      <c r="K78" s="76"/>
      <c r="L78" s="76"/>
      <c r="M78" s="76"/>
      <c r="N78" s="76"/>
      <c r="O78" s="76"/>
      <c r="P78" s="76"/>
      <c r="Q78" s="76"/>
      <c r="R78" s="76"/>
      <c r="S78" s="76"/>
      <c r="T78" s="76"/>
      <c r="AU78" s="122">
        <f>J78</f>
        <v>3.3</v>
      </c>
      <c r="AV78" s="123">
        <v>0</v>
      </c>
      <c r="AW78" s="76"/>
      <c r="AX78" s="76"/>
    </row>
    <row r="79" spans="1:50" ht="13.5" thickBot="1">
      <c r="A79" s="74" t="s">
        <v>81</v>
      </c>
      <c r="B79" s="75">
        <v>1.17</v>
      </c>
      <c r="C79" s="76"/>
      <c r="D79" s="76"/>
      <c r="E79" s="76"/>
      <c r="F79" s="84" t="s">
        <v>88</v>
      </c>
      <c r="G79" s="118">
        <f>ROUND((11.8-0.5646*G78),2)</f>
        <v>8.3</v>
      </c>
      <c r="H79" s="118">
        <f>ROUND((11.8-0.5646*H78),2)</f>
        <v>9.03</v>
      </c>
      <c r="I79" s="118">
        <f>ROUND((11.8-0.5646*I78),2)</f>
        <v>9.54</v>
      </c>
      <c r="J79" s="118">
        <f>ROUND((11.8-0.5646*J78),2)</f>
        <v>9.94</v>
      </c>
      <c r="K79" s="76"/>
      <c r="L79" s="76"/>
      <c r="M79" s="76"/>
      <c r="N79" s="76"/>
      <c r="O79" s="76"/>
      <c r="P79" s="116" t="s">
        <v>99</v>
      </c>
      <c r="Q79" s="117">
        <f>ROUND((11.8-0.5646*Q77),4)</f>
        <v>8.3089</v>
      </c>
      <c r="R79" s="117">
        <f>ROUND((11.8-0.5646*R77),4)</f>
        <v>9.0475</v>
      </c>
      <c r="S79" s="117">
        <f>ROUND((11.8-0.5646*S77),4)</f>
        <v>9.5215</v>
      </c>
      <c r="T79" s="117">
        <f>ROUND((11.8-0.5646*T77),4)</f>
        <v>9.9163</v>
      </c>
      <c r="AU79" s="122">
        <f>J78*0.999</f>
        <v>3.2967</v>
      </c>
      <c r="AV79" s="123">
        <f>J78</f>
        <v>3.3</v>
      </c>
      <c r="AW79" s="76"/>
      <c r="AX79" s="76"/>
    </row>
    <row r="80" spans="1:50" ht="13.5" thickBot="1">
      <c r="A80" s="119" t="s">
        <v>82</v>
      </c>
      <c r="B80" s="75">
        <v>0.1</v>
      </c>
      <c r="C80" s="103" t="s">
        <v>77</v>
      </c>
      <c r="D80" s="76"/>
      <c r="E80" s="76"/>
      <c r="F80" s="129" t="s">
        <v>89</v>
      </c>
      <c r="G80" s="101">
        <f>ROUND(((21-0.1*G78)/(21-G78)),2)</f>
        <v>1.38</v>
      </c>
      <c r="H80" s="101">
        <f>ROUND(((21-0.1*H78)/(21-H78)),2)</f>
        <v>1.27</v>
      </c>
      <c r="I80" s="101">
        <f>ROUND(((21-0.1*I78)/(21-I78)),2)</f>
        <v>1.21</v>
      </c>
      <c r="J80" s="101">
        <f>ROUND(((21-0.1*J78)/(21-J78)),2)</f>
        <v>1.17</v>
      </c>
      <c r="K80" s="76"/>
      <c r="L80" s="76"/>
      <c r="M80" s="76"/>
      <c r="N80" s="76"/>
      <c r="O80" s="76"/>
      <c r="P80" s="116" t="s">
        <v>100</v>
      </c>
      <c r="Q80" s="117">
        <f>ROUND(((T80-1)*B80*(B75/G69)+R80),4)</f>
        <v>1.3756</v>
      </c>
      <c r="R80" s="117">
        <f>ROUND(((T80-1)*B80*(B75/H69)+S80),4)</f>
        <v>1.2721</v>
      </c>
      <c r="S80" s="117">
        <f>ROUND(((T80-1)*B80*(B75/I69)+T80),4)</f>
        <v>1.2141</v>
      </c>
      <c r="T80" s="117">
        <f>B79</f>
        <v>1.17</v>
      </c>
      <c r="AU80" s="130">
        <f>J79</f>
        <v>9.94</v>
      </c>
      <c r="AV80" s="131">
        <v>0</v>
      </c>
      <c r="AW80" s="76"/>
      <c r="AX80" s="76"/>
    </row>
    <row r="81" spans="1:20" ht="13.5" thickBot="1">
      <c r="A81" s="74" t="s">
        <v>83</v>
      </c>
      <c r="B81" s="75">
        <v>93</v>
      </c>
      <c r="C81" s="76"/>
      <c r="D81" s="76"/>
      <c r="E81" s="76"/>
      <c r="F81" s="84" t="s">
        <v>90</v>
      </c>
      <c r="G81" s="118">
        <f>ROUND(0.01*B86*(G75-0.85*B74),2)</f>
        <v>5.72</v>
      </c>
      <c r="H81" s="118">
        <f>ROUND(0.01*C86*(H75-0.85*B74),2)</f>
        <v>6.06</v>
      </c>
      <c r="I81" s="118">
        <f>ROUND(0.01*D86*(I75-0.85*B74),2)</f>
        <v>6.34</v>
      </c>
      <c r="J81" s="118">
        <f>ROUND(0.01*E86*(J75-0.85*B74),2)</f>
        <v>8.05</v>
      </c>
      <c r="K81" s="76"/>
      <c r="L81" s="76"/>
      <c r="M81" s="76"/>
      <c r="N81" s="76"/>
      <c r="O81" s="76"/>
      <c r="P81" s="116" t="s">
        <v>101</v>
      </c>
      <c r="Q81" s="117">
        <f>ROUND((100-Q83-Q82),4)</f>
        <v>5.6809</v>
      </c>
      <c r="R81" s="117">
        <f>$Q81*(($B82-1)*H69/$G69+2-$B82)</f>
        <v>6.036573739130436</v>
      </c>
      <c r="S81" s="117">
        <f>$Q81*(($B82-1)*I69/$G69+2-$B82)</f>
        <v>6.293449217391305</v>
      </c>
      <c r="T81" s="117">
        <f>$Q81*(($B82-1)*J69/$G69+2-$B82)</f>
        <v>7.9927793043478275</v>
      </c>
    </row>
    <row r="82" spans="1:20" ht="13.5" thickBot="1">
      <c r="A82" s="119" t="s">
        <v>84</v>
      </c>
      <c r="B82" s="75">
        <v>1.08</v>
      </c>
      <c r="C82" s="103" t="s">
        <v>73</v>
      </c>
      <c r="D82" s="76"/>
      <c r="E82" s="76"/>
      <c r="F82" s="74" t="s">
        <v>133</v>
      </c>
      <c r="G82" s="100">
        <v>57</v>
      </c>
      <c r="H82" s="100">
        <v>48</v>
      </c>
      <c r="I82" s="100">
        <v>11</v>
      </c>
      <c r="J82" s="100">
        <v>9</v>
      </c>
      <c r="K82" s="116" t="s">
        <v>97</v>
      </c>
      <c r="L82" s="117">
        <f>ROUND((Q79^-0.8048*29.557),4)</f>
        <v>5.3779</v>
      </c>
      <c r="M82" s="117">
        <f>ROUND((R79^-0.8048*29.557),4)</f>
        <v>5.0216</v>
      </c>
      <c r="N82" s="117">
        <f>ROUND((S79^-0.8048*29.557),4)</f>
        <v>4.8195</v>
      </c>
      <c r="O82" s="117">
        <f>ROUND((T79^-0.8048*29.557),4)</f>
        <v>4.6644</v>
      </c>
      <c r="P82" s="127" t="s">
        <v>102</v>
      </c>
      <c r="Q82" s="117">
        <f>ROUND(($B66*(0.5+$B70/(2*G69))),4)</f>
        <v>1.3191</v>
      </c>
      <c r="R82" s="117">
        <f>ROUND(($B66*(0.5+$B70/(2*H69))),4)</f>
        <v>0.8212</v>
      </c>
      <c r="S82" s="117">
        <f>ROUND(($B66*(0.5+$B70/(2*I69))),4)</f>
        <v>0.6681</v>
      </c>
      <c r="T82" s="117">
        <f>ROUND(($B66*(0.5+$B70/(2*J69))),4)</f>
        <v>0.3713</v>
      </c>
    </row>
    <row r="83" spans="1:20" ht="13.5" thickBot="1">
      <c r="A83" s="124"/>
      <c r="B83" s="125"/>
      <c r="C83" s="126"/>
      <c r="D83" s="126"/>
      <c r="E83" s="76"/>
      <c r="F83" s="84" t="s">
        <v>132</v>
      </c>
      <c r="G83" s="118">
        <f>ROUND((126.5*G82*10^(-4)*11.8*100/(4200*(G79+G82*10^(-4)))),1)</f>
        <v>0</v>
      </c>
      <c r="H83" s="118">
        <f>ROUND((126.5*H82*10^(-4)*11.8*100/(4200*(H79+H82*10^(-4)))),1)</f>
        <v>0</v>
      </c>
      <c r="I83" s="118">
        <f>ROUND((126.5*I82*10^(-4)*11.8*100/(4200*(I79+I82*10^(-4)))),1)</f>
        <v>0</v>
      </c>
      <c r="J83" s="118">
        <f>ROUND((126.5*J82*10^(-4)*11.8*100/(4200*(J79+J82*10^(-4)))),1)</f>
        <v>0</v>
      </c>
      <c r="K83" s="76"/>
      <c r="L83" s="78"/>
      <c r="M83" s="76"/>
      <c r="N83" s="76"/>
      <c r="O83" s="76"/>
      <c r="P83" s="116" t="s">
        <v>103</v>
      </c>
      <c r="Q83" s="117">
        <f>B81</f>
        <v>93</v>
      </c>
      <c r="R83" s="117">
        <f>ROUND(100-R81-R82,3)</f>
        <v>93.142</v>
      </c>
      <c r="S83" s="117">
        <f>ROUND(100-S81-S82,3)</f>
        <v>93.038</v>
      </c>
      <c r="T83" s="117">
        <f>ROUND(100-T81-T82,3)</f>
        <v>91.636</v>
      </c>
    </row>
    <row r="84" spans="1:20" ht="13.5" thickBot="1">
      <c r="A84" s="127" t="s">
        <v>71</v>
      </c>
      <c r="B84" s="128">
        <f>ROUND((G69*B68*10^-8),7)</f>
        <v>0.0007629</v>
      </c>
      <c r="C84" s="128">
        <f>ROUND((H69*B68*10^-8),7)</f>
        <v>0.0013599</v>
      </c>
      <c r="D84" s="128">
        <f>ROUND((I69*B68*10^-8),7)</f>
        <v>0.0017911</v>
      </c>
      <c r="E84" s="128">
        <f>ROUND((J69*B68*10^-8),7)</f>
        <v>0.0046435</v>
      </c>
      <c r="F84" s="134" t="s">
        <v>91</v>
      </c>
      <c r="G84" s="134">
        <f>ROUND(($B66*(0.5+$B70/(2*G69))),2)</f>
        <v>1.32</v>
      </c>
      <c r="H84" s="134">
        <f>ROUND(($B66*(0.5+$B70/(2*H69))),2)</f>
        <v>0.82</v>
      </c>
      <c r="I84" s="134">
        <f>ROUND(($B66*(0.5+$B70/(2*I69))),2)</f>
        <v>0.67</v>
      </c>
      <c r="J84" s="134">
        <f>ROUND(($B66*(0.5+$B70/(2*J69))),2)</f>
        <v>0.37</v>
      </c>
      <c r="K84" s="76"/>
      <c r="L84" s="76"/>
      <c r="M84" s="76"/>
      <c r="N84" s="76"/>
      <c r="O84" s="76"/>
      <c r="P84" s="76"/>
      <c r="Q84" s="76"/>
      <c r="R84" s="76"/>
      <c r="S84" s="76"/>
      <c r="T84" s="76"/>
    </row>
    <row r="85" spans="1:20" ht="14.25" thickBot="1" thickTop="1">
      <c r="A85" s="132"/>
      <c r="B85" s="133"/>
      <c r="C85" s="133"/>
      <c r="D85" s="133"/>
      <c r="E85" s="133"/>
      <c r="F85" s="93" t="s">
        <v>92</v>
      </c>
      <c r="G85" s="135">
        <f>ROUND((100-G81-G83-G84),1)</f>
        <v>93</v>
      </c>
      <c r="H85" s="135">
        <f>ROUND((100-H81-H83-H84),1)</f>
        <v>93.1</v>
      </c>
      <c r="I85" s="135">
        <f>ROUND((100-I81-I83-I84),1)</f>
        <v>93</v>
      </c>
      <c r="J85" s="135">
        <f>ROUND((100-J81-J83-J84),1)</f>
        <v>91.6</v>
      </c>
      <c r="K85" s="76"/>
      <c r="L85" s="76"/>
      <c r="M85" s="76"/>
      <c r="N85" s="76"/>
      <c r="O85" s="76"/>
      <c r="P85" s="76"/>
      <c r="Q85" s="76"/>
      <c r="R85" s="76"/>
      <c r="S85" s="76"/>
      <c r="T85" s="76"/>
    </row>
    <row r="86" spans="1:20" ht="13.5" thickBot="1">
      <c r="A86" s="84" t="s">
        <v>96</v>
      </c>
      <c r="B86" s="118">
        <f>ROUND((1.23*10^-4*(G79^-0.8048*29.557)*G75+0.9877*(G79^-0.8048*29.557)),2)</f>
        <v>5.4</v>
      </c>
      <c r="C86" s="118">
        <f>ROUND((1.23*10^-4*(H79^-0.8048*29.557)*H75+0.9877*(H79^-0.8048*29.557)),2)</f>
        <v>5.05</v>
      </c>
      <c r="D86" s="118">
        <f>ROUND((1.23*10^-4*(I79^-0.8048*29.557)*I75+0.9877*(I79^-0.8048*29.557)),2)</f>
        <v>4.84</v>
      </c>
      <c r="E86" s="118">
        <f>ROUND((1.23*10^-4*(J79^-0.8048*29.557)*J75+0.9877*(J79^-0.8048*29.557)),2)</f>
        <v>4.71</v>
      </c>
      <c r="F86" s="118" t="s">
        <v>78</v>
      </c>
      <c r="G86" s="118">
        <f>ROUND((100000/(7*G85)),0)</f>
        <v>154</v>
      </c>
      <c r="H86" s="118">
        <f>ROUND((100000/(7*H85)),0)</f>
        <v>153</v>
      </c>
      <c r="I86" s="118">
        <f>ROUND((100000/(7*I85)),0)</f>
        <v>154</v>
      </c>
      <c r="J86" s="118">
        <f>ROUND((100000/(7*J85)),0)</f>
        <v>156</v>
      </c>
      <c r="K86" s="76"/>
      <c r="L86" s="76"/>
      <c r="M86" s="76"/>
      <c r="N86" s="76"/>
      <c r="O86" s="76"/>
      <c r="P86" s="76"/>
      <c r="Q86" s="76"/>
      <c r="R86" s="76"/>
      <c r="S86" s="76"/>
      <c r="T86" s="76"/>
    </row>
    <row r="87" spans="6:20" ht="12.75">
      <c r="F87" s="76"/>
      <c r="G87" s="103"/>
      <c r="H87" s="103"/>
      <c r="I87" s="103"/>
      <c r="J87" s="103"/>
      <c r="K87" s="76"/>
      <c r="L87" s="76"/>
      <c r="M87" s="76"/>
      <c r="N87" s="76"/>
      <c r="O87" s="76"/>
      <c r="P87" s="76"/>
      <c r="Q87" s="76"/>
      <c r="R87" s="76"/>
      <c r="S87" s="76"/>
      <c r="T87" s="76"/>
    </row>
    <row r="88" spans="6:20" ht="13.5" thickBot="1">
      <c r="F88" s="76"/>
      <c r="G88" s="76"/>
      <c r="H88" s="103"/>
      <c r="I88" s="103"/>
      <c r="J88" s="103"/>
      <c r="K88" s="76"/>
      <c r="L88" s="76"/>
      <c r="M88" s="76"/>
      <c r="N88" s="76"/>
      <c r="O88" s="76"/>
      <c r="P88" s="76"/>
      <c r="Q88" s="76"/>
      <c r="R88" s="76"/>
      <c r="S88" s="76"/>
      <c r="T88" s="76"/>
    </row>
    <row r="89" spans="1:20" ht="13.5" thickBot="1">
      <c r="A89" s="20"/>
      <c r="B89" s="20"/>
      <c r="C89" s="20"/>
      <c r="D89" s="20"/>
      <c r="E89" s="20"/>
      <c r="F89" s="136" t="s">
        <v>93</v>
      </c>
      <c r="G89" s="140">
        <v>26</v>
      </c>
      <c r="H89" s="140">
        <v>27</v>
      </c>
      <c r="I89" s="140">
        <v>28</v>
      </c>
      <c r="J89" s="118">
        <f>B76</f>
        <v>0</v>
      </c>
      <c r="K89" s="76"/>
      <c r="L89" s="76"/>
      <c r="M89" s="76"/>
      <c r="N89" s="76"/>
      <c r="O89" s="76"/>
      <c r="P89" s="76"/>
      <c r="Q89" s="76"/>
      <c r="R89" s="76"/>
      <c r="S89" s="76"/>
      <c r="T89" s="76"/>
    </row>
    <row r="90" spans="6:20" ht="13.5" thickBot="1">
      <c r="F90" s="136" t="s">
        <v>94</v>
      </c>
      <c r="G90" s="118">
        <f>ROUND((G89*1.05),0)</f>
        <v>27</v>
      </c>
      <c r="H90" s="118">
        <f>ROUND((H89*1.05),0)</f>
        <v>28</v>
      </c>
      <c r="I90" s="118">
        <f>ROUND((I89*1.05),0)</f>
        <v>29</v>
      </c>
      <c r="J90" s="118">
        <f>ROUND((J89*1.05),0)</f>
        <v>0</v>
      </c>
      <c r="K90" s="76"/>
      <c r="L90" s="76"/>
      <c r="M90" s="76"/>
      <c r="N90" s="76"/>
      <c r="O90" s="76"/>
      <c r="P90" s="76"/>
      <c r="Q90" s="76"/>
      <c r="R90" s="76"/>
      <c r="S90" s="76"/>
      <c r="T90" s="76"/>
    </row>
    <row r="91" spans="6:20" ht="13.5" thickBot="1">
      <c r="F91" s="136" t="s">
        <v>95</v>
      </c>
      <c r="G91" s="118">
        <f>ROUND((G89*1.05*2.053*G80),0)</f>
        <v>77</v>
      </c>
      <c r="H91" s="118">
        <f>ROUND((H89*1.05*2.053*H80),0)</f>
        <v>74</v>
      </c>
      <c r="I91" s="118">
        <f>ROUND((I89*1.05*2.053*I80),0)</f>
        <v>73</v>
      </c>
      <c r="J91" s="118">
        <f>ROUND((J89*1.05*2.053*J80),0)</f>
        <v>0</v>
      </c>
      <c r="K91" s="76"/>
      <c r="L91" s="76"/>
      <c r="M91" s="76"/>
      <c r="N91" s="76"/>
      <c r="O91" s="76"/>
      <c r="P91" s="76"/>
      <c r="Q91" s="76"/>
      <c r="R91" s="76"/>
      <c r="S91" s="76"/>
      <c r="T91" s="76"/>
    </row>
    <row r="93" spans="1:21" ht="12.75">
      <c r="A93" s="275"/>
      <c r="B93" s="275"/>
      <c r="C93" s="275"/>
      <c r="D93" s="275"/>
      <c r="E93" s="275"/>
      <c r="F93" s="275"/>
      <c r="G93" s="275"/>
      <c r="H93" s="275"/>
      <c r="I93" s="275"/>
      <c r="J93" s="275"/>
      <c r="K93" s="275"/>
      <c r="L93" s="275"/>
      <c r="M93" s="275"/>
      <c r="N93" s="275"/>
      <c r="O93" s="275"/>
      <c r="P93" s="275"/>
      <c r="Q93" s="275"/>
      <c r="R93" s="275"/>
      <c r="S93" s="275"/>
      <c r="T93" s="275"/>
      <c r="U93" s="275"/>
    </row>
    <row r="94" spans="1:21" ht="12.75">
      <c r="A94" s="275"/>
      <c r="B94" s="275"/>
      <c r="C94" s="275"/>
      <c r="D94" s="275"/>
      <c r="E94" s="275"/>
      <c r="F94" s="275"/>
      <c r="G94" s="275"/>
      <c r="H94" s="275"/>
      <c r="I94" s="275"/>
      <c r="J94" s="275"/>
      <c r="K94" s="275"/>
      <c r="L94" s="275"/>
      <c r="M94" s="275"/>
      <c r="N94" s="275"/>
      <c r="O94" s="275"/>
      <c r="P94" s="275"/>
      <c r="Q94" s="275"/>
      <c r="R94" s="275"/>
      <c r="S94" s="275"/>
      <c r="T94" s="275"/>
      <c r="U94" s="275"/>
    </row>
    <row r="95" spans="1:21" ht="12.75">
      <c r="A95" s="275"/>
      <c r="B95" s="275"/>
      <c r="C95" s="275"/>
      <c r="D95" s="275"/>
      <c r="E95" s="275"/>
      <c r="F95" s="275"/>
      <c r="G95" s="275"/>
      <c r="H95" s="275"/>
      <c r="I95" s="275"/>
      <c r="J95" s="275"/>
      <c r="K95" s="275"/>
      <c r="L95" s="275"/>
      <c r="M95" s="275"/>
      <c r="N95" s="275"/>
      <c r="O95" s="275"/>
      <c r="P95" s="275"/>
      <c r="Q95" s="275"/>
      <c r="R95" s="275"/>
      <c r="S95" s="275"/>
      <c r="T95" s="275"/>
      <c r="U95" s="275"/>
    </row>
    <row r="96" spans="1:21" ht="12.75">
      <c r="A96" s="275"/>
      <c r="B96" s="400"/>
      <c r="C96" s="275"/>
      <c r="D96" s="275"/>
      <c r="E96" s="275"/>
      <c r="F96" s="275"/>
      <c r="G96" s="275"/>
      <c r="H96" s="275"/>
      <c r="I96" s="275"/>
      <c r="J96" s="275"/>
      <c r="K96" s="275"/>
      <c r="L96" s="275"/>
      <c r="M96" s="275"/>
      <c r="N96" s="275"/>
      <c r="O96" s="275"/>
      <c r="P96" s="275"/>
      <c r="Q96" s="275"/>
      <c r="R96" s="275"/>
      <c r="S96" s="275"/>
      <c r="T96" s="275"/>
      <c r="U96" s="275"/>
    </row>
    <row r="97" spans="1:21" ht="12.75">
      <c r="A97" s="275"/>
      <c r="B97" s="400"/>
      <c r="C97" s="275"/>
      <c r="D97" s="275"/>
      <c r="E97" s="275"/>
      <c r="F97" s="275"/>
      <c r="G97" s="275"/>
      <c r="H97" s="275"/>
      <c r="I97" s="275"/>
      <c r="J97" s="275"/>
      <c r="K97" s="275"/>
      <c r="L97" s="275"/>
      <c r="M97" s="275"/>
      <c r="N97" s="275"/>
      <c r="O97" s="275"/>
      <c r="P97" s="275"/>
      <c r="Q97" s="275"/>
      <c r="R97" s="275"/>
      <c r="S97" s="275"/>
      <c r="T97" s="275"/>
      <c r="U97" s="275"/>
    </row>
    <row r="98" spans="1:21" ht="12.75">
      <c r="A98" s="275"/>
      <c r="B98" s="275"/>
      <c r="C98" s="275"/>
      <c r="D98" s="275"/>
      <c r="E98" s="275"/>
      <c r="F98" s="275"/>
      <c r="G98" s="275"/>
      <c r="H98" s="275"/>
      <c r="I98" s="275"/>
      <c r="J98" s="275"/>
      <c r="K98" s="275"/>
      <c r="L98" s="275"/>
      <c r="M98" s="275"/>
      <c r="N98" s="275"/>
      <c r="O98" s="275"/>
      <c r="P98" s="275"/>
      <c r="Q98" s="275"/>
      <c r="R98" s="275"/>
      <c r="S98" s="275"/>
      <c r="T98" s="275"/>
      <c r="U98" s="275"/>
    </row>
    <row r="99" spans="1:21" ht="12.75">
      <c r="A99" s="275"/>
      <c r="B99" s="275"/>
      <c r="C99" s="275"/>
      <c r="D99" s="275"/>
      <c r="E99" s="275"/>
      <c r="F99" s="275"/>
      <c r="G99" s="275"/>
      <c r="H99" s="275"/>
      <c r="I99" s="275"/>
      <c r="J99" s="275"/>
      <c r="K99" s="275"/>
      <c r="L99" s="275"/>
      <c r="M99" s="275"/>
      <c r="N99" s="275"/>
      <c r="O99" s="275"/>
      <c r="P99" s="275"/>
      <c r="Q99" s="275"/>
      <c r="R99" s="275"/>
      <c r="S99" s="275"/>
      <c r="T99" s="275"/>
      <c r="U99" s="275"/>
    </row>
    <row r="100" spans="1:21" ht="12.75">
      <c r="A100" s="275"/>
      <c r="B100" s="275"/>
      <c r="C100" s="275"/>
      <c r="D100" s="275"/>
      <c r="E100" s="275"/>
      <c r="F100" s="275"/>
      <c r="G100" s="275"/>
      <c r="H100" s="275"/>
      <c r="I100" s="275"/>
      <c r="J100" s="275"/>
      <c r="K100" s="275"/>
      <c r="L100" s="275"/>
      <c r="M100" s="275"/>
      <c r="N100" s="275"/>
      <c r="O100" s="275"/>
      <c r="P100" s="275"/>
      <c r="Q100" s="275"/>
      <c r="R100" s="275"/>
      <c r="S100" s="275"/>
      <c r="T100" s="275"/>
      <c r="U100" s="275"/>
    </row>
    <row r="101" spans="1:21" ht="12.75">
      <c r="A101" s="275"/>
      <c r="B101" s="275"/>
      <c r="C101" s="275"/>
      <c r="D101" s="275"/>
      <c r="E101" s="275"/>
      <c r="F101" s="275"/>
      <c r="G101" s="275"/>
      <c r="H101" s="275"/>
      <c r="I101" s="275"/>
      <c r="J101" s="275"/>
      <c r="K101" s="275"/>
      <c r="L101" s="275"/>
      <c r="M101" s="275"/>
      <c r="N101" s="275"/>
      <c r="O101" s="275"/>
      <c r="P101" s="275"/>
      <c r="Q101" s="275"/>
      <c r="R101" s="275"/>
      <c r="S101" s="275"/>
      <c r="T101" s="275"/>
      <c r="U101" s="275"/>
    </row>
    <row r="102" spans="1:21" ht="12.75">
      <c r="A102" s="275"/>
      <c r="B102" s="275"/>
      <c r="C102" s="275"/>
      <c r="D102" s="275"/>
      <c r="E102" s="275"/>
      <c r="F102" s="275"/>
      <c r="G102" s="275"/>
      <c r="H102" s="275"/>
      <c r="I102" s="275"/>
      <c r="J102" s="275"/>
      <c r="K102" s="275"/>
      <c r="L102" s="275"/>
      <c r="M102" s="275"/>
      <c r="N102" s="275"/>
      <c r="O102" s="275"/>
      <c r="P102" s="275"/>
      <c r="Q102" s="275"/>
      <c r="R102" s="275"/>
      <c r="S102" s="275"/>
      <c r="T102" s="275"/>
      <c r="U102" s="275"/>
    </row>
    <row r="103" spans="1:21" ht="12.75">
      <c r="A103" s="275"/>
      <c r="B103" s="275"/>
      <c r="C103" s="275"/>
      <c r="D103" s="275"/>
      <c r="E103" s="275"/>
      <c r="F103" s="275"/>
      <c r="G103" s="275"/>
      <c r="H103" s="275"/>
      <c r="I103" s="275"/>
      <c r="J103" s="275"/>
      <c r="K103" s="275"/>
      <c r="L103" s="275"/>
      <c r="M103" s="275"/>
      <c r="N103" s="275"/>
      <c r="O103" s="275"/>
      <c r="P103" s="275"/>
      <c r="Q103" s="275"/>
      <c r="R103" s="275"/>
      <c r="S103" s="275"/>
      <c r="T103" s="275"/>
      <c r="U103" s="275"/>
    </row>
    <row r="104" spans="1:21" ht="12.75">
      <c r="A104" s="275"/>
      <c r="B104" s="275"/>
      <c r="C104" s="275"/>
      <c r="D104" s="275"/>
      <c r="E104" s="275"/>
      <c r="F104" s="275"/>
      <c r="G104" s="275"/>
      <c r="H104" s="275"/>
      <c r="I104" s="275"/>
      <c r="J104" s="275"/>
      <c r="K104" s="275"/>
      <c r="L104" s="275"/>
      <c r="M104" s="275"/>
      <c r="N104" s="275"/>
      <c r="O104" s="275"/>
      <c r="P104" s="275"/>
      <c r="Q104" s="275"/>
      <c r="R104" s="275"/>
      <c r="S104" s="275"/>
      <c r="T104" s="275"/>
      <c r="U104" s="275"/>
    </row>
    <row r="105" spans="1:21" ht="12.75">
      <c r="A105" s="275"/>
      <c r="B105" s="275"/>
      <c r="C105" s="275"/>
      <c r="D105" s="275"/>
      <c r="E105" s="275"/>
      <c r="F105" s="275"/>
      <c r="G105" s="275"/>
      <c r="H105" s="275"/>
      <c r="I105" s="275"/>
      <c r="J105" s="275"/>
      <c r="K105" s="275"/>
      <c r="L105" s="275"/>
      <c r="M105" s="275"/>
      <c r="N105" s="275"/>
      <c r="O105" s="275"/>
      <c r="P105" s="275"/>
      <c r="Q105" s="275"/>
      <c r="R105" s="275"/>
      <c r="S105" s="275"/>
      <c r="T105" s="275"/>
      <c r="U105" s="275"/>
    </row>
    <row r="106" spans="1:21" ht="12.75">
      <c r="A106" s="275"/>
      <c r="B106" s="275"/>
      <c r="C106" s="275"/>
      <c r="D106" s="275"/>
      <c r="E106" s="275"/>
      <c r="F106" s="275"/>
      <c r="G106" s="275"/>
      <c r="H106" s="275"/>
      <c r="I106" s="275"/>
      <c r="J106" s="275"/>
      <c r="K106" s="275"/>
      <c r="L106" s="275"/>
      <c r="M106" s="275"/>
      <c r="N106" s="275"/>
      <c r="O106" s="275"/>
      <c r="P106" s="275"/>
      <c r="Q106" s="275"/>
      <c r="R106" s="275"/>
      <c r="S106" s="275"/>
      <c r="T106" s="275"/>
      <c r="U106" s="275"/>
    </row>
    <row r="107" spans="1:21" ht="12.75">
      <c r="A107" s="275"/>
      <c r="B107" s="275"/>
      <c r="C107" s="275"/>
      <c r="D107" s="275"/>
      <c r="E107" s="275"/>
      <c r="F107" s="275"/>
      <c r="G107" s="275"/>
      <c r="H107" s="275"/>
      <c r="I107" s="275"/>
      <c r="J107" s="275"/>
      <c r="K107" s="275"/>
      <c r="L107" s="275"/>
      <c r="M107" s="275"/>
      <c r="N107" s="275"/>
      <c r="O107" s="275"/>
      <c r="P107" s="275"/>
      <c r="Q107" s="275"/>
      <c r="R107" s="275"/>
      <c r="S107" s="275"/>
      <c r="T107" s="275"/>
      <c r="U107" s="275"/>
    </row>
    <row r="108" spans="1:21" ht="12.75">
      <c r="A108" s="275"/>
      <c r="B108" s="275"/>
      <c r="C108" s="275"/>
      <c r="D108" s="275"/>
      <c r="E108" s="275"/>
      <c r="F108" s="275"/>
      <c r="G108" s="275"/>
      <c r="H108" s="275"/>
      <c r="I108" s="275"/>
      <c r="J108" s="275"/>
      <c r="K108" s="275"/>
      <c r="L108" s="275"/>
      <c r="M108" s="275"/>
      <c r="N108" s="275"/>
      <c r="O108" s="275"/>
      <c r="P108" s="275"/>
      <c r="Q108" s="275"/>
      <c r="R108" s="275"/>
      <c r="S108" s="275"/>
      <c r="T108" s="275"/>
      <c r="U108" s="275"/>
    </row>
    <row r="109" spans="1:21" ht="12.75">
      <c r="A109" s="275"/>
      <c r="B109" s="275"/>
      <c r="C109" s="275"/>
      <c r="D109" s="275"/>
      <c r="E109" s="275"/>
      <c r="F109" s="275"/>
      <c r="G109" s="275"/>
      <c r="H109" s="275"/>
      <c r="I109" s="275"/>
      <c r="J109" s="275"/>
      <c r="K109" s="275"/>
      <c r="L109" s="275"/>
      <c r="M109" s="275"/>
      <c r="N109" s="275"/>
      <c r="O109" s="275"/>
      <c r="P109" s="275"/>
      <c r="Q109" s="275"/>
      <c r="R109" s="275"/>
      <c r="S109" s="275"/>
      <c r="T109" s="275"/>
      <c r="U109" s="275"/>
    </row>
    <row r="110" spans="1:21" ht="12.75">
      <c r="A110" s="275"/>
      <c r="B110" s="275"/>
      <c r="C110" s="275"/>
      <c r="D110" s="275"/>
      <c r="E110" s="275"/>
      <c r="F110" s="275"/>
      <c r="G110" s="275"/>
      <c r="H110" s="275"/>
      <c r="I110" s="275"/>
      <c r="J110" s="275"/>
      <c r="K110" s="275"/>
      <c r="L110" s="275"/>
      <c r="M110" s="275"/>
      <c r="N110" s="275"/>
      <c r="O110" s="275"/>
      <c r="P110" s="275"/>
      <c r="Q110" s="275"/>
      <c r="R110" s="275"/>
      <c r="S110" s="275"/>
      <c r="T110" s="275"/>
      <c r="U110" s="275"/>
    </row>
    <row r="111" spans="1:21" ht="12.75">
      <c r="A111" s="275"/>
      <c r="B111" s="275"/>
      <c r="C111" s="275"/>
      <c r="D111" s="275"/>
      <c r="E111" s="275"/>
      <c r="F111" s="275"/>
      <c r="G111" s="275"/>
      <c r="H111" s="275"/>
      <c r="I111" s="275"/>
      <c r="J111" s="275"/>
      <c r="K111" s="275"/>
      <c r="L111" s="275"/>
      <c r="M111" s="275"/>
      <c r="N111" s="275"/>
      <c r="O111" s="275"/>
      <c r="P111" s="275"/>
      <c r="Q111" s="275"/>
      <c r="R111" s="275"/>
      <c r="S111" s="275"/>
      <c r="T111" s="275"/>
      <c r="U111" s="275"/>
    </row>
    <row r="112" spans="1:21" ht="12.75">
      <c r="A112" s="275"/>
      <c r="B112" s="275"/>
      <c r="C112" s="275"/>
      <c r="D112" s="275"/>
      <c r="E112" s="275"/>
      <c r="F112" s="275"/>
      <c r="G112" s="275"/>
      <c r="H112" s="275"/>
      <c r="I112" s="275"/>
      <c r="J112" s="275"/>
      <c r="K112" s="275"/>
      <c r="L112" s="275"/>
      <c r="M112" s="275"/>
      <c r="N112" s="275"/>
      <c r="O112" s="275"/>
      <c r="P112" s="275"/>
      <c r="Q112" s="275"/>
      <c r="R112" s="275"/>
      <c r="S112" s="275"/>
      <c r="T112" s="275"/>
      <c r="U112" s="275"/>
    </row>
    <row r="113" spans="1:21" ht="12.75">
      <c r="A113" s="275"/>
      <c r="B113" s="400"/>
      <c r="C113" s="275"/>
      <c r="D113" s="275"/>
      <c r="E113" s="275"/>
      <c r="F113" s="275"/>
      <c r="G113" s="275"/>
      <c r="H113" s="275"/>
      <c r="I113" s="275"/>
      <c r="J113" s="275"/>
      <c r="K113" s="275"/>
      <c r="L113" s="275"/>
      <c r="M113" s="275"/>
      <c r="N113" s="275"/>
      <c r="O113" s="275"/>
      <c r="P113" s="275"/>
      <c r="Q113" s="275"/>
      <c r="R113" s="275"/>
      <c r="S113" s="275"/>
      <c r="T113" s="275"/>
      <c r="U113" s="275"/>
    </row>
    <row r="114" spans="1:21" ht="12.75">
      <c r="A114" s="275"/>
      <c r="B114" s="400"/>
      <c r="C114" s="275"/>
      <c r="D114" s="275"/>
      <c r="E114" s="275"/>
      <c r="F114" s="275"/>
      <c r="G114" s="275"/>
      <c r="H114" s="275"/>
      <c r="I114" s="275"/>
      <c r="J114" s="275"/>
      <c r="K114" s="275"/>
      <c r="L114" s="275"/>
      <c r="M114" s="275"/>
      <c r="N114" s="275"/>
      <c r="O114" s="275"/>
      <c r="P114" s="275"/>
      <c r="Q114" s="275"/>
      <c r="R114" s="275"/>
      <c r="S114" s="275"/>
      <c r="T114" s="275"/>
      <c r="U114" s="275"/>
    </row>
    <row r="115" spans="1:21" ht="12.75">
      <c r="A115" s="275"/>
      <c r="B115" s="275"/>
      <c r="C115" s="275"/>
      <c r="D115" s="275"/>
      <c r="E115" s="275"/>
      <c r="F115" s="275"/>
      <c r="G115" s="275"/>
      <c r="H115" s="275"/>
      <c r="I115" s="275"/>
      <c r="J115" s="275"/>
      <c r="K115" s="275"/>
      <c r="L115" s="275"/>
      <c r="M115" s="275"/>
      <c r="N115" s="275"/>
      <c r="O115" s="275"/>
      <c r="P115" s="275"/>
      <c r="Q115" s="275"/>
      <c r="R115" s="275"/>
      <c r="S115" s="275"/>
      <c r="T115" s="275"/>
      <c r="U115" s="275"/>
    </row>
    <row r="116" spans="1:21" ht="12.75">
      <c r="A116" s="275"/>
      <c r="B116" s="275"/>
      <c r="C116" s="275"/>
      <c r="D116" s="275"/>
      <c r="E116" s="275"/>
      <c r="F116" s="275"/>
      <c r="G116" s="275"/>
      <c r="H116" s="275"/>
      <c r="I116" s="275"/>
      <c r="J116" s="275"/>
      <c r="K116" s="275"/>
      <c r="L116" s="275"/>
      <c r="M116" s="275"/>
      <c r="N116" s="275"/>
      <c r="O116" s="275"/>
      <c r="P116" s="275"/>
      <c r="Q116" s="275"/>
      <c r="R116" s="275"/>
      <c r="S116" s="275"/>
      <c r="T116" s="275"/>
      <c r="U116" s="275"/>
    </row>
    <row r="117" spans="1:21" ht="12.75">
      <c r="A117" s="275"/>
      <c r="B117" s="275"/>
      <c r="C117" s="275"/>
      <c r="D117" s="275"/>
      <c r="E117" s="275"/>
      <c r="F117" s="275"/>
      <c r="G117" s="275"/>
      <c r="H117" s="275"/>
      <c r="I117" s="275"/>
      <c r="J117" s="275"/>
      <c r="K117" s="275"/>
      <c r="L117" s="275"/>
      <c r="M117" s="275"/>
      <c r="N117" s="275"/>
      <c r="O117" s="275"/>
      <c r="P117" s="275"/>
      <c r="Q117" s="275"/>
      <c r="R117" s="275"/>
      <c r="S117" s="275"/>
      <c r="T117" s="275"/>
      <c r="U117" s="275"/>
    </row>
    <row r="118" spans="1:21" ht="12.75">
      <c r="A118" s="275"/>
      <c r="B118" s="275"/>
      <c r="C118" s="275"/>
      <c r="D118" s="275"/>
      <c r="E118" s="275"/>
      <c r="F118" s="275"/>
      <c r="G118" s="275"/>
      <c r="H118" s="275"/>
      <c r="I118" s="275"/>
      <c r="J118" s="275"/>
      <c r="K118" s="275"/>
      <c r="L118" s="275"/>
      <c r="M118" s="275"/>
      <c r="N118" s="275"/>
      <c r="O118" s="275"/>
      <c r="P118" s="275"/>
      <c r="Q118" s="275"/>
      <c r="R118" s="275"/>
      <c r="S118" s="275"/>
      <c r="T118" s="275"/>
      <c r="U118" s="275"/>
    </row>
  </sheetData>
  <mergeCells count="17">
    <mergeCell ref="AY17:AZ17"/>
    <mergeCell ref="BB17:BD17"/>
    <mergeCell ref="AO29:AP29"/>
    <mergeCell ref="AR29:AU29"/>
    <mergeCell ref="AY31:AZ31"/>
    <mergeCell ref="BB31:BD31"/>
    <mergeCell ref="AY45:AZ45"/>
    <mergeCell ref="BB45:BD45"/>
    <mergeCell ref="AO57:AP57"/>
    <mergeCell ref="AR57:AU57"/>
    <mergeCell ref="AL59:AN60"/>
    <mergeCell ref="AY59:AZ59"/>
    <mergeCell ref="C71:E72"/>
    <mergeCell ref="BB59:BD59"/>
    <mergeCell ref="D65:D66"/>
    <mergeCell ref="E65:E66"/>
    <mergeCell ref="C68:D68"/>
  </mergeCells>
  <printOptions horizontalCentered="1"/>
  <pageMargins left="0.7874015748031497" right="0.1968503937007874" top="0.984251968503937" bottom="0.3937007874015748" header="0.5118110236220472" footer="0.5118110236220472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Теплоэнерго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Наладка</dc:creator>
  <cp:keywords/>
  <dc:description/>
  <cp:lastModifiedBy>Kitchen_PC</cp:lastModifiedBy>
  <cp:lastPrinted>2017-04-13T05:45:31Z</cp:lastPrinted>
  <dcterms:created xsi:type="dcterms:W3CDTF">2001-08-10T10:23:06Z</dcterms:created>
  <dcterms:modified xsi:type="dcterms:W3CDTF">2021-03-04T14:24:35Z</dcterms:modified>
  <cp:category/>
  <cp:version/>
  <cp:contentType/>
  <cp:contentStatus/>
</cp:coreProperties>
</file>